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_01\appoggio\07_Silvio\01_AFFARI GENERALI\SITO\Amministrazione Trasparente\Pagamenti dell'amministrazione\Debito commerciale\2021\"/>
    </mc:Choice>
  </mc:AlternateContent>
  <bookViews>
    <workbookView xWindow="0" yWindow="0" windowWidth="28800" windowHeight="10650"/>
  </bookViews>
  <sheets>
    <sheet name="stampa (7)" sheetId="2" r:id="rId1"/>
  </sheets>
  <calcPr calcId="162913"/>
</workbook>
</file>

<file path=xl/calcChain.xml><?xml version="1.0" encoding="utf-8"?>
<calcChain xmlns="http://schemas.openxmlformats.org/spreadsheetml/2006/main">
  <c r="C197" i="2" l="1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<sst xmlns="http://schemas.openxmlformats.org/spreadsheetml/2006/main" count="597" uniqueCount="87">
  <si>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</si>
  <si>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</si>
  <si>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</si>
  <si>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</si>
  <si>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</si>
  <si>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</si>
  <si>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</si>
  <si>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Partita IVA</t>
  </si>
  <si>
    <t>Totale fattura</t>
  </si>
  <si>
    <t>Stock del debito</t>
  </si>
  <si>
    <t>Data scadenza</t>
  </si>
  <si>
    <t>Data pagamento</t>
  </si>
  <si>
    <t>Ufficio fatturazione</t>
  </si>
  <si>
    <t>F</t>
  </si>
  <si>
    <t>IT00345680433</t>
  </si>
  <si>
    <t>XIR6VX</t>
  </si>
  <si>
    <t>IT01654680436</t>
  </si>
  <si>
    <t>ESHDNO</t>
  </si>
  <si>
    <t>IT01469790990</t>
  </si>
  <si>
    <t>UFH0C1</t>
  </si>
  <si>
    <t>IT01959120435</t>
  </si>
  <si>
    <t>IT12300020158</t>
  </si>
  <si>
    <t>IT02316470422</t>
  </si>
  <si>
    <t>IT01858460437</t>
  </si>
  <si>
    <t>IT02663810428</t>
  </si>
  <si>
    <t>IT01746790433</t>
  </si>
  <si>
    <t>IT00187420435</t>
  </si>
  <si>
    <t>IT01540330436</t>
  </si>
  <si>
    <t>IT01820650438</t>
  </si>
  <si>
    <t>IT01931010431</t>
  </si>
  <si>
    <t>IT01811100435</t>
  </si>
  <si>
    <t>IT15844561009</t>
  </si>
  <si>
    <t>IT01454270438</t>
  </si>
  <si>
    <t>IT02106250398</t>
  </si>
  <si>
    <t>IT01232050433</t>
  </si>
  <si>
    <t>IT01271810432</t>
  </si>
  <si>
    <t>IT02066400405</t>
  </si>
  <si>
    <t>IT01237780430</t>
  </si>
  <si>
    <t>IT00051570893</t>
  </si>
  <si>
    <t>IT02028040430</t>
  </si>
  <si>
    <t>IT01082080431</t>
  </si>
  <si>
    <t>IT01918660448</t>
  </si>
  <si>
    <t>IT00856710157</t>
  </si>
  <si>
    <t>IT03819031208</t>
  </si>
  <si>
    <t>IT01992720431</t>
  </si>
  <si>
    <t>IT00384350435</t>
  </si>
  <si>
    <t>XWNCFT</t>
  </si>
  <si>
    <t>IT01953020433</t>
  </si>
  <si>
    <t>IT01403510223</t>
  </si>
  <si>
    <t>IT01146150436</t>
  </si>
  <si>
    <t>N</t>
  </si>
  <si>
    <t>IT01930970437</t>
  </si>
  <si>
    <t>IT01288130212</t>
  </si>
  <si>
    <t>IT01034590438</t>
  </si>
  <si>
    <t>IT00089070403</t>
  </si>
  <si>
    <t>IT01457970430</t>
  </si>
  <si>
    <t>IT01794670438</t>
  </si>
  <si>
    <t>IT00899570436</t>
  </si>
  <si>
    <t>IT01130830431</t>
  </si>
  <si>
    <t>IT00777910159</t>
  </si>
  <si>
    <t>IT02564110399</t>
  </si>
  <si>
    <t>IT01591840432</t>
  </si>
  <si>
    <t>IT00836740431</t>
  </si>
  <si>
    <t>IT01849460439</t>
  </si>
  <si>
    <t>IT02383950983</t>
  </si>
  <si>
    <t>IT01379530437</t>
  </si>
  <si>
    <t>IT01511970426</t>
  </si>
  <si>
    <t>IT01672230438</t>
  </si>
  <si>
    <t>IT01232040434</t>
  </si>
  <si>
    <t>IT01743840439</t>
  </si>
  <si>
    <t>IT01672460431</t>
  </si>
  <si>
    <t>IT01232710432</t>
  </si>
  <si>
    <t>IT01464950425</t>
  </si>
  <si>
    <t>IT01696800430</t>
  </si>
  <si>
    <t>IT01014090433</t>
  </si>
  <si>
    <t>IT01145120430</t>
  </si>
  <si>
    <t>IT01708220437</t>
  </si>
  <si>
    <t>IT05754381001</t>
  </si>
  <si>
    <t>IT09633951000</t>
  </si>
  <si>
    <t>IT05779711000</t>
  </si>
  <si>
    <t>IT01708990443</t>
  </si>
  <si>
    <t>IT01681370431</t>
  </si>
  <si>
    <t>IT01855010433</t>
  </si>
  <si>
    <t>IT00845290964</t>
  </si>
  <si>
    <t>IT01588450427</t>
  </si>
  <si>
    <t>IT01663260436</t>
  </si>
  <si>
    <t>IT00488410010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</si>
</sst>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right"/>
    </xf>
    <xf numFmtId="21" fontId="18" fillId="0" borderId="10" xfId="0" applyNumberFormat="1" applyFont="1" applyBorder="1" applyAlignment="1">
      <alignment horizontal="left"/>
    </xf>
    <xf numFmtId="0" fontId="19" fillId="33" borderId="10" xfId="0" applyFont="1" applyFill="1" applyBorder="1" applyAlignment="1">
      <alignment horizontal="center"/>
    </xf>
    <xf numFmtId="0" fontId="0" fillId="0" borderId="11" xfId="0" applyBorder="1"/>
    <xf numFmtId="14" fontId="0" fillId="0" borderId="11" xfId="0" applyNumberFormat="1" applyBorder="1"/>
    <xf numFmtId="4" fontId="0" fillId="0" borderId="11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showGridLines="0" tabSelected="1" workbookViewId="0">
      <selection activeCell="H1" sqref="H1:H1048576"/>
    </sheetView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13.7109375" bestFit="1" customWidth="1"/>
    <col min="9" max="9" width="13.140625" bestFit="1" customWidth="1"/>
    <col min="10" max="10" width="15.42578125" bestFit="1" customWidth="1"/>
    <col min="11" max="11" width="13.5703125" bestFit="1" customWidth="1"/>
    <col min="12" max="12" width="15.5703125" bestFit="1" customWidth="1"/>
    <col min="13" max="13" width="18.5703125" bestFit="1" customWidth="1"/>
  </cols>
  <sheetData>
    <row r="1" spans="1:13" x14ac:dyDescent="0.25">
      <c r="A1" s="1"/>
      <c r="B1" s="2"/>
    </row>
    <row r="2" spans="1:13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x14ac:dyDescent="0.25">
      <c r="A3" s="4" t="s">
        <v>13</v>
      </c>
      <c r="B3" s="5">
        <v>44529</v>
      </c>
      <c r="C3" s="4" t="str">
        <f>"223"</f>
        <v>223</v>
      </c>
      <c r="D3" s="4">
        <v>6234355412</v>
      </c>
      <c r="E3" s="5">
        <v>44574</v>
      </c>
      <c r="F3" s="4">
        <v>82</v>
      </c>
      <c r="G3" s="4">
        <v>158</v>
      </c>
      <c r="H3" s="4" t="s">
        <v>14</v>
      </c>
      <c r="I3" s="6">
        <v>1055.3</v>
      </c>
      <c r="J3" s="4">
        <v>865</v>
      </c>
      <c r="K3" s="5">
        <v>44529</v>
      </c>
      <c r="L3" s="5">
        <v>44631</v>
      </c>
      <c r="M3" s="4" t="s">
        <v>15</v>
      </c>
    </row>
    <row r="4" spans="1:13" x14ac:dyDescent="0.25">
      <c r="A4" s="4" t="s">
        <v>13</v>
      </c>
      <c r="B4" s="5">
        <v>44529</v>
      </c>
      <c r="C4" s="4" t="str">
        <f>"1731"</f>
        <v>1731</v>
      </c>
      <c r="D4" s="4">
        <v>6230866602</v>
      </c>
      <c r="E4" s="5">
        <v>44553</v>
      </c>
      <c r="F4" s="4">
        <v>1617</v>
      </c>
      <c r="G4" s="4">
        <v>3106</v>
      </c>
      <c r="H4" s="4" t="s">
        <v>16</v>
      </c>
      <c r="I4" s="4">
        <v>360.35</v>
      </c>
      <c r="J4" s="4">
        <v>295.37</v>
      </c>
      <c r="K4" s="5">
        <v>44561</v>
      </c>
      <c r="L4" s="5">
        <v>44601</v>
      </c>
      <c r="M4" s="4" t="s">
        <v>17</v>
      </c>
    </row>
    <row r="5" spans="1:13" x14ac:dyDescent="0.25">
      <c r="A5" s="4" t="s">
        <v>13</v>
      </c>
      <c r="B5" s="5">
        <v>44526</v>
      </c>
      <c r="C5" s="4" t="str">
        <f>"2050/PA"</f>
        <v>2050/PA</v>
      </c>
      <c r="D5" s="4">
        <v>6219549171</v>
      </c>
      <c r="E5" s="5">
        <v>44551</v>
      </c>
      <c r="F5" s="4">
        <v>1592</v>
      </c>
      <c r="G5" s="4">
        <v>3988</v>
      </c>
      <c r="H5" s="4" t="s">
        <v>18</v>
      </c>
      <c r="I5" s="4">
        <v>70</v>
      </c>
      <c r="J5" s="4">
        <v>70</v>
      </c>
      <c r="K5" s="5">
        <v>44556</v>
      </c>
      <c r="L5" s="5">
        <v>44624</v>
      </c>
      <c r="M5" s="4" t="s">
        <v>19</v>
      </c>
    </row>
    <row r="6" spans="1:13" x14ac:dyDescent="0.25">
      <c r="A6" s="4" t="s">
        <v>13</v>
      </c>
      <c r="B6" s="5">
        <v>44525</v>
      </c>
      <c r="C6" s="4" t="str">
        <f>"12/PA2021"</f>
        <v>12/PA2021</v>
      </c>
      <c r="D6" s="4">
        <v>6215439509</v>
      </c>
      <c r="E6" s="5">
        <v>44544</v>
      </c>
      <c r="F6" s="4">
        <v>1576</v>
      </c>
      <c r="G6" s="4">
        <v>4404</v>
      </c>
      <c r="H6" s="4" t="s">
        <v>20</v>
      </c>
      <c r="I6" s="4">
        <v>244</v>
      </c>
      <c r="J6" s="4">
        <v>200</v>
      </c>
      <c r="K6" s="5">
        <v>44555</v>
      </c>
      <c r="L6" s="5">
        <v>44671</v>
      </c>
      <c r="M6" s="4" t="s">
        <v>17</v>
      </c>
    </row>
    <row r="7" spans="1:13" x14ac:dyDescent="0.25">
      <c r="A7" s="4" t="s">
        <v>13</v>
      </c>
      <c r="B7" s="5">
        <v>44525</v>
      </c>
      <c r="C7" s="4" t="str">
        <f>"13/PA2021"</f>
        <v>13/PA2021</v>
      </c>
      <c r="D7" s="4">
        <v>6215441880</v>
      </c>
      <c r="E7" s="5">
        <v>44551</v>
      </c>
      <c r="F7" s="4">
        <v>1602</v>
      </c>
      <c r="G7" s="4">
        <v>4404</v>
      </c>
      <c r="H7" s="4" t="s">
        <v>20</v>
      </c>
      <c r="I7" s="4">
        <v>317.2</v>
      </c>
      <c r="J7" s="4">
        <v>260</v>
      </c>
      <c r="K7" s="5">
        <v>44555</v>
      </c>
      <c r="L7" s="5">
        <v>44671</v>
      </c>
      <c r="M7" s="4" t="s">
        <v>17</v>
      </c>
    </row>
    <row r="8" spans="1:13" x14ac:dyDescent="0.25">
      <c r="A8" s="4" t="s">
        <v>13</v>
      </c>
      <c r="B8" s="5">
        <v>44525</v>
      </c>
      <c r="C8" s="4" t="str">
        <f>"G216005089"</f>
        <v>G216005089</v>
      </c>
      <c r="D8" s="4">
        <v>6232266986</v>
      </c>
      <c r="E8" s="5">
        <v>44581</v>
      </c>
      <c r="F8" s="4">
        <v>123</v>
      </c>
      <c r="G8" s="4">
        <v>4711</v>
      </c>
      <c r="H8" s="4" t="s">
        <v>21</v>
      </c>
      <c r="I8" s="4">
        <v>30.78</v>
      </c>
      <c r="J8" s="4">
        <v>29.31</v>
      </c>
      <c r="K8" s="5">
        <v>44559</v>
      </c>
      <c r="L8" s="5">
        <v>44618</v>
      </c>
      <c r="M8" s="4" t="s">
        <v>17</v>
      </c>
    </row>
    <row r="9" spans="1:13" x14ac:dyDescent="0.25">
      <c r="A9" s="4" t="s">
        <v>13</v>
      </c>
      <c r="B9" s="5">
        <v>44525</v>
      </c>
      <c r="C9" s="4" t="str">
        <f>"G216005241"</f>
        <v>G216005241</v>
      </c>
      <c r="D9" s="4">
        <v>6232836856</v>
      </c>
      <c r="E9" s="5">
        <v>44581</v>
      </c>
      <c r="F9" s="4">
        <v>124</v>
      </c>
      <c r="G9" s="4">
        <v>4711</v>
      </c>
      <c r="H9" s="4" t="s">
        <v>21</v>
      </c>
      <c r="I9" s="4">
        <v>103.54</v>
      </c>
      <c r="J9" s="4">
        <v>98.61</v>
      </c>
      <c r="K9" s="5">
        <v>44559</v>
      </c>
      <c r="L9" s="5">
        <v>44618</v>
      </c>
      <c r="M9" s="4" t="s">
        <v>17</v>
      </c>
    </row>
    <row r="10" spans="1:13" x14ac:dyDescent="0.25">
      <c r="A10" s="4" t="s">
        <v>13</v>
      </c>
      <c r="B10" s="5">
        <v>44525</v>
      </c>
      <c r="C10" s="4" t="str">
        <f>"5423"</f>
        <v>5423</v>
      </c>
      <c r="D10" s="4">
        <v>6213406338</v>
      </c>
      <c r="E10" s="5">
        <v>44551</v>
      </c>
      <c r="F10" s="4">
        <v>1588</v>
      </c>
      <c r="G10" s="4">
        <v>4821</v>
      </c>
      <c r="H10" s="4" t="s">
        <v>22</v>
      </c>
      <c r="I10" s="4">
        <v>41.58</v>
      </c>
      <c r="J10" s="4">
        <v>41.58</v>
      </c>
      <c r="K10" s="5">
        <v>44555</v>
      </c>
      <c r="L10" s="5">
        <v>44579</v>
      </c>
      <c r="M10" s="4" t="s">
        <v>19</v>
      </c>
    </row>
    <row r="11" spans="1:13" x14ac:dyDescent="0.25">
      <c r="A11" s="4" t="s">
        <v>13</v>
      </c>
      <c r="B11" s="5">
        <v>44524</v>
      </c>
      <c r="C11" s="4" t="str">
        <f>"2-PA"</f>
        <v>2-PA</v>
      </c>
      <c r="D11" s="4">
        <v>6209780888</v>
      </c>
      <c r="E11" s="5">
        <v>44551</v>
      </c>
      <c r="F11" s="4">
        <v>1587</v>
      </c>
      <c r="G11" s="4">
        <v>4954</v>
      </c>
      <c r="H11" s="4" t="s">
        <v>23</v>
      </c>
      <c r="I11" s="4">
        <v>366</v>
      </c>
      <c r="J11" s="4">
        <v>366</v>
      </c>
      <c r="K11" s="5">
        <v>44554</v>
      </c>
      <c r="L11" s="5">
        <v>44631</v>
      </c>
      <c r="M11" s="4" t="s">
        <v>19</v>
      </c>
    </row>
    <row r="12" spans="1:13" x14ac:dyDescent="0.25">
      <c r="A12" s="4" t="s">
        <v>13</v>
      </c>
      <c r="B12" s="5">
        <v>44523</v>
      </c>
      <c r="C12" s="4" t="str">
        <f>"1027"</f>
        <v>1027</v>
      </c>
      <c r="D12" s="4">
        <v>6217598411</v>
      </c>
      <c r="E12" s="5">
        <v>44551</v>
      </c>
      <c r="F12" s="4">
        <v>1591</v>
      </c>
      <c r="G12" s="4">
        <v>3960</v>
      </c>
      <c r="H12" s="4" t="s">
        <v>24</v>
      </c>
      <c r="I12" s="4">
        <v>70</v>
      </c>
      <c r="J12" s="4">
        <v>70</v>
      </c>
      <c r="K12" s="5">
        <v>44557</v>
      </c>
      <c r="L12" s="5">
        <v>44624</v>
      </c>
      <c r="M12" s="4" t="s">
        <v>19</v>
      </c>
    </row>
    <row r="13" spans="1:13" x14ac:dyDescent="0.25">
      <c r="A13" s="4" t="s">
        <v>13</v>
      </c>
      <c r="B13" s="5">
        <v>44522</v>
      </c>
      <c r="C13" s="4" t="str">
        <f>"4"</f>
        <v>4</v>
      </c>
      <c r="D13" s="4">
        <v>6194772996</v>
      </c>
      <c r="E13" s="5">
        <v>44551</v>
      </c>
      <c r="F13" s="4">
        <v>1596</v>
      </c>
      <c r="G13" s="4">
        <v>3769</v>
      </c>
      <c r="H13" s="4" t="s">
        <v>25</v>
      </c>
      <c r="I13" s="6">
        <v>3800</v>
      </c>
      <c r="J13" s="6">
        <v>3800</v>
      </c>
      <c r="K13" s="5">
        <v>44552</v>
      </c>
      <c r="L13" s="5">
        <v>44593</v>
      </c>
      <c r="M13" s="4" t="s">
        <v>17</v>
      </c>
    </row>
    <row r="14" spans="1:13" x14ac:dyDescent="0.25">
      <c r="A14" s="4" t="s">
        <v>13</v>
      </c>
      <c r="B14" s="5">
        <v>44519</v>
      </c>
      <c r="C14" s="4" t="str">
        <f>"109/2021R"</f>
        <v>109/2021R</v>
      </c>
      <c r="D14" s="4">
        <v>6184342393</v>
      </c>
      <c r="E14" s="5">
        <v>44551</v>
      </c>
      <c r="F14" s="4">
        <v>1595</v>
      </c>
      <c r="G14" s="4">
        <v>164</v>
      </c>
      <c r="H14" s="4" t="s">
        <v>26</v>
      </c>
      <c r="I14" s="4">
        <v>90.95</v>
      </c>
      <c r="J14" s="4">
        <v>76.39</v>
      </c>
      <c r="K14" s="5">
        <v>44549</v>
      </c>
      <c r="L14" s="5">
        <v>44652</v>
      </c>
      <c r="M14" s="4" t="s">
        <v>17</v>
      </c>
    </row>
    <row r="15" spans="1:13" x14ac:dyDescent="0.25">
      <c r="A15" s="4" t="s">
        <v>13</v>
      </c>
      <c r="B15" s="5">
        <v>44518</v>
      </c>
      <c r="C15" s="4" t="str">
        <f>"2"</f>
        <v>2</v>
      </c>
      <c r="D15" s="4">
        <v>6175797070</v>
      </c>
      <c r="E15" s="5">
        <v>44551</v>
      </c>
      <c r="F15" s="4">
        <v>1586</v>
      </c>
      <c r="G15" s="4">
        <v>3987</v>
      </c>
      <c r="H15" s="4" t="s">
        <v>27</v>
      </c>
      <c r="I15" s="4">
        <v>73.66</v>
      </c>
      <c r="J15" s="4">
        <v>73.66</v>
      </c>
      <c r="K15" s="5">
        <v>44548</v>
      </c>
      <c r="L15" s="5">
        <v>44855</v>
      </c>
      <c r="M15" s="4" t="s">
        <v>19</v>
      </c>
    </row>
    <row r="16" spans="1:13" x14ac:dyDescent="0.25">
      <c r="A16" s="4" t="s">
        <v>13</v>
      </c>
      <c r="B16" s="5">
        <v>44516</v>
      </c>
      <c r="C16" s="4" t="str">
        <f>"3PA"</f>
        <v>3PA</v>
      </c>
      <c r="D16" s="4">
        <v>6175025688</v>
      </c>
      <c r="E16" s="5">
        <v>44551</v>
      </c>
      <c r="F16" s="4">
        <v>1585</v>
      </c>
      <c r="G16" s="4">
        <v>3785</v>
      </c>
      <c r="H16" s="4" t="s">
        <v>28</v>
      </c>
      <c r="I16" s="6">
        <v>2304.96</v>
      </c>
      <c r="J16" s="6">
        <v>2304.96</v>
      </c>
      <c r="K16" s="5">
        <v>44548</v>
      </c>
      <c r="L16" s="5">
        <v>44579</v>
      </c>
      <c r="M16" s="4" t="s">
        <v>19</v>
      </c>
    </row>
    <row r="17" spans="1:13" x14ac:dyDescent="0.25">
      <c r="A17" s="4" t="s">
        <v>13</v>
      </c>
      <c r="B17" s="5">
        <v>44516</v>
      </c>
      <c r="C17" s="4" t="str">
        <f>"217000078"</f>
        <v>217000078</v>
      </c>
      <c r="D17" s="4">
        <v>6218843037</v>
      </c>
      <c r="E17" s="5">
        <v>44581</v>
      </c>
      <c r="F17" s="4">
        <v>129</v>
      </c>
      <c r="G17" s="4">
        <v>4128</v>
      </c>
      <c r="H17" s="4" t="s">
        <v>29</v>
      </c>
      <c r="I17" s="4">
        <v>114.45</v>
      </c>
      <c r="J17" s="4">
        <v>109</v>
      </c>
      <c r="K17" s="5">
        <v>44556</v>
      </c>
      <c r="L17" s="5">
        <v>44618</v>
      </c>
      <c r="M17" s="4" t="s">
        <v>17</v>
      </c>
    </row>
    <row r="18" spans="1:13" x14ac:dyDescent="0.25">
      <c r="A18" s="4" t="s">
        <v>13</v>
      </c>
      <c r="B18" s="5">
        <v>44516</v>
      </c>
      <c r="C18" s="4" t="str">
        <f>"G216004654"</f>
        <v>G216004654</v>
      </c>
      <c r="D18" s="4">
        <v>6194922632</v>
      </c>
      <c r="E18" s="5">
        <v>44581</v>
      </c>
      <c r="F18" s="4">
        <v>121</v>
      </c>
      <c r="G18" s="4">
        <v>4711</v>
      </c>
      <c r="H18" s="4" t="s">
        <v>21</v>
      </c>
      <c r="I18" s="4">
        <v>64.819999999999993</v>
      </c>
      <c r="J18" s="4">
        <v>56.26</v>
      </c>
      <c r="K18" s="5">
        <v>44552</v>
      </c>
      <c r="L18" s="5">
        <v>44618</v>
      </c>
      <c r="M18" s="4" t="s">
        <v>17</v>
      </c>
    </row>
    <row r="19" spans="1:13" x14ac:dyDescent="0.25">
      <c r="A19" s="4" t="s">
        <v>13</v>
      </c>
      <c r="B19" s="5">
        <v>44516</v>
      </c>
      <c r="C19" s="4" t="str">
        <f>"G216004672"</f>
        <v>G216004672</v>
      </c>
      <c r="D19" s="4">
        <v>6194923073</v>
      </c>
      <c r="E19" s="5">
        <v>44581</v>
      </c>
      <c r="F19" s="4">
        <v>122</v>
      </c>
      <c r="G19" s="4">
        <v>4711</v>
      </c>
      <c r="H19" s="4" t="s">
        <v>21</v>
      </c>
      <c r="I19" s="4">
        <v>64.81</v>
      </c>
      <c r="J19" s="4">
        <v>56.25</v>
      </c>
      <c r="K19" s="5">
        <v>44552</v>
      </c>
      <c r="L19" s="5">
        <v>44618</v>
      </c>
      <c r="M19" s="4" t="s">
        <v>17</v>
      </c>
    </row>
    <row r="20" spans="1:13" x14ac:dyDescent="0.25">
      <c r="A20" s="4" t="s">
        <v>13</v>
      </c>
      <c r="B20" s="5">
        <v>44512</v>
      </c>
      <c r="C20" s="4" t="str">
        <f>"1702"</f>
        <v>1702</v>
      </c>
      <c r="D20" s="4">
        <v>6138930341</v>
      </c>
      <c r="E20" s="5">
        <v>44518</v>
      </c>
      <c r="F20" s="4">
        <v>1511</v>
      </c>
      <c r="G20" s="4">
        <v>3992</v>
      </c>
      <c r="H20" s="4" t="s">
        <v>30</v>
      </c>
      <c r="I20" s="4">
        <v>21.19</v>
      </c>
      <c r="J20" s="4">
        <v>21.19</v>
      </c>
      <c r="K20" s="5">
        <v>44542</v>
      </c>
      <c r="L20" s="5">
        <v>44579</v>
      </c>
      <c r="M20" s="4" t="s">
        <v>19</v>
      </c>
    </row>
    <row r="21" spans="1:13" x14ac:dyDescent="0.25">
      <c r="A21" s="4" t="s">
        <v>13</v>
      </c>
      <c r="B21" s="5">
        <v>44512</v>
      </c>
      <c r="C21" s="4" t="str">
        <f>"004176667553"</f>
        <v>004176667553</v>
      </c>
      <c r="D21" s="4">
        <v>6146633586</v>
      </c>
      <c r="E21" s="5">
        <v>44586</v>
      </c>
      <c r="F21" s="4">
        <v>259</v>
      </c>
      <c r="G21" s="4">
        <v>4915</v>
      </c>
      <c r="H21" s="4" t="s">
        <v>31</v>
      </c>
      <c r="I21" s="4">
        <v>330.29</v>
      </c>
      <c r="J21" s="4">
        <v>270.73</v>
      </c>
      <c r="K21" s="5">
        <v>44543</v>
      </c>
      <c r="L21" s="5">
        <v>44618</v>
      </c>
      <c r="M21" s="4" t="s">
        <v>15</v>
      </c>
    </row>
    <row r="22" spans="1:13" x14ac:dyDescent="0.25">
      <c r="A22" s="4" t="s">
        <v>13</v>
      </c>
      <c r="B22" s="5">
        <v>44511</v>
      </c>
      <c r="C22" s="4" t="str">
        <f>"505/01"</f>
        <v>505/01</v>
      </c>
      <c r="D22" s="4">
        <v>6130572359</v>
      </c>
      <c r="E22" s="5">
        <v>44532</v>
      </c>
      <c r="F22" s="4">
        <v>1523</v>
      </c>
      <c r="G22" s="4">
        <v>4037</v>
      </c>
      <c r="H22" s="4" t="s">
        <v>32</v>
      </c>
      <c r="I22" s="4">
        <v>549</v>
      </c>
      <c r="J22" s="4">
        <v>450</v>
      </c>
      <c r="K22" s="5">
        <v>44561</v>
      </c>
      <c r="L22" s="5">
        <v>44604</v>
      </c>
      <c r="M22" s="4" t="s">
        <v>19</v>
      </c>
    </row>
    <row r="23" spans="1:13" x14ac:dyDescent="0.25">
      <c r="A23" s="4" t="s">
        <v>13</v>
      </c>
      <c r="B23" s="5">
        <v>44509</v>
      </c>
      <c r="C23" s="4" t="str">
        <f>"436920150000616"</f>
        <v>436920150000616</v>
      </c>
      <c r="D23" s="4">
        <v>6119350895</v>
      </c>
      <c r="E23" s="5">
        <v>44586</v>
      </c>
      <c r="F23" s="4">
        <v>263</v>
      </c>
      <c r="G23" s="4">
        <v>4915</v>
      </c>
      <c r="H23" s="4" t="s">
        <v>31</v>
      </c>
      <c r="I23" s="4">
        <v>439.97</v>
      </c>
      <c r="J23" s="4">
        <v>399.97</v>
      </c>
      <c r="K23" s="5">
        <v>44539</v>
      </c>
      <c r="L23" s="5">
        <v>44618</v>
      </c>
      <c r="M23" s="4" t="s">
        <v>15</v>
      </c>
    </row>
    <row r="24" spans="1:13" x14ac:dyDescent="0.25">
      <c r="A24" s="4" t="s">
        <v>13</v>
      </c>
      <c r="B24" s="5">
        <v>44508</v>
      </c>
      <c r="C24" s="4" t="str">
        <f>"4093VEP"</f>
        <v>4093VEP</v>
      </c>
      <c r="D24" s="4">
        <v>6107990638</v>
      </c>
      <c r="E24" s="5">
        <v>44525</v>
      </c>
      <c r="F24" s="4">
        <v>1514</v>
      </c>
      <c r="G24" s="4">
        <v>3669</v>
      </c>
      <c r="H24" s="4" t="s">
        <v>33</v>
      </c>
      <c r="I24" s="4">
        <v>220</v>
      </c>
      <c r="J24" s="4">
        <v>180.33</v>
      </c>
      <c r="K24" s="5">
        <v>44561</v>
      </c>
      <c r="L24" s="5">
        <v>44604</v>
      </c>
      <c r="M24" s="4" t="s">
        <v>19</v>
      </c>
    </row>
    <row r="25" spans="1:13" x14ac:dyDescent="0.25">
      <c r="A25" s="4" t="s">
        <v>13</v>
      </c>
      <c r="B25" s="5">
        <v>44508</v>
      </c>
      <c r="C25" s="4" t="str">
        <f>"0001259"</f>
        <v>0001259</v>
      </c>
      <c r="D25" s="4">
        <v>6153239659</v>
      </c>
      <c r="E25" s="5">
        <v>44517</v>
      </c>
      <c r="F25" s="4">
        <v>1501</v>
      </c>
      <c r="G25" s="4">
        <v>4103</v>
      </c>
      <c r="H25" s="4" t="s">
        <v>34</v>
      </c>
      <c r="I25" s="4">
        <v>144.47</v>
      </c>
      <c r="J25" s="4">
        <v>118.42</v>
      </c>
      <c r="K25" s="5">
        <v>44545</v>
      </c>
      <c r="L25" s="5">
        <v>44579</v>
      </c>
      <c r="M25" s="4" t="s">
        <v>19</v>
      </c>
    </row>
    <row r="26" spans="1:13" x14ac:dyDescent="0.25">
      <c r="A26" s="4" t="s">
        <v>13</v>
      </c>
      <c r="B26" s="5">
        <v>44508</v>
      </c>
      <c r="C26" s="4" t="str">
        <f>"0001263"</f>
        <v>0001263</v>
      </c>
      <c r="D26" s="4">
        <v>6168024948</v>
      </c>
      <c r="E26" s="5">
        <v>44518</v>
      </c>
      <c r="F26" s="4">
        <v>1512</v>
      </c>
      <c r="G26" s="4">
        <v>4103</v>
      </c>
      <c r="H26" s="4" t="s">
        <v>34</v>
      </c>
      <c r="I26" s="6">
        <v>3914.79</v>
      </c>
      <c r="J26" s="6">
        <v>3728.37</v>
      </c>
      <c r="K26" s="5">
        <v>44547</v>
      </c>
      <c r="L26" s="5">
        <v>44580</v>
      </c>
      <c r="M26" s="4" t="s">
        <v>19</v>
      </c>
    </row>
    <row r="27" spans="1:13" x14ac:dyDescent="0.25">
      <c r="A27" s="4" t="s">
        <v>13</v>
      </c>
      <c r="B27" s="5">
        <v>44508</v>
      </c>
      <c r="C27" s="4" t="str">
        <f>"0001264"</f>
        <v>0001264</v>
      </c>
      <c r="D27" s="4">
        <v>6168024951</v>
      </c>
      <c r="E27" s="5">
        <v>44518</v>
      </c>
      <c r="F27" s="4">
        <v>1513</v>
      </c>
      <c r="G27" s="4">
        <v>4103</v>
      </c>
      <c r="H27" s="4" t="s">
        <v>34</v>
      </c>
      <c r="I27" s="6">
        <v>11812.4</v>
      </c>
      <c r="J27" s="6">
        <v>11249.9</v>
      </c>
      <c r="K27" s="5">
        <v>44547</v>
      </c>
      <c r="L27" s="5">
        <v>44580</v>
      </c>
      <c r="M27" s="4" t="s">
        <v>19</v>
      </c>
    </row>
    <row r="28" spans="1:13" x14ac:dyDescent="0.25">
      <c r="A28" s="4" t="s">
        <v>13</v>
      </c>
      <c r="B28" s="5">
        <v>44502</v>
      </c>
      <c r="C28" s="4" t="str">
        <f>"FPA 67/21"</f>
        <v>FPA 67/21</v>
      </c>
      <c r="D28" s="4">
        <v>6107440177</v>
      </c>
      <c r="E28" s="5">
        <v>44525</v>
      </c>
      <c r="F28" s="4">
        <v>1515</v>
      </c>
      <c r="G28" s="4">
        <v>2591</v>
      </c>
      <c r="H28" s="4" t="s">
        <v>35</v>
      </c>
      <c r="I28" s="4">
        <v>23.14</v>
      </c>
      <c r="J28" s="4">
        <v>23.14</v>
      </c>
      <c r="K28" s="5">
        <v>44538</v>
      </c>
      <c r="L28" s="5">
        <v>44579</v>
      </c>
      <c r="M28" s="4" t="s">
        <v>19</v>
      </c>
    </row>
    <row r="29" spans="1:13" x14ac:dyDescent="0.25">
      <c r="A29" s="4" t="s">
        <v>13</v>
      </c>
      <c r="B29" s="5">
        <v>44500</v>
      </c>
      <c r="C29" s="4" t="str">
        <f>"0005958423"</f>
        <v>0005958423</v>
      </c>
      <c r="D29" s="4">
        <v>6107907357</v>
      </c>
      <c r="E29" s="5">
        <v>44525</v>
      </c>
      <c r="F29" s="4">
        <v>1518</v>
      </c>
      <c r="G29" s="4">
        <v>2206</v>
      </c>
      <c r="H29" s="4" t="s">
        <v>36</v>
      </c>
      <c r="I29" s="4">
        <v>198</v>
      </c>
      <c r="J29" s="4">
        <v>198</v>
      </c>
      <c r="K29" s="5">
        <v>44561</v>
      </c>
      <c r="L29" s="5">
        <v>44604</v>
      </c>
      <c r="M29" s="4" t="s">
        <v>19</v>
      </c>
    </row>
    <row r="30" spans="1:13" x14ac:dyDescent="0.25">
      <c r="A30" s="4" t="s">
        <v>13</v>
      </c>
      <c r="B30" s="5">
        <v>44500</v>
      </c>
      <c r="C30" s="4" t="str">
        <f>"32021148"</f>
        <v>32021148</v>
      </c>
      <c r="D30" s="4">
        <v>6151966663</v>
      </c>
      <c r="E30" s="5">
        <v>44551</v>
      </c>
      <c r="F30" s="4">
        <v>1594</v>
      </c>
      <c r="G30" s="4">
        <v>2997</v>
      </c>
      <c r="H30" s="4" t="s">
        <v>37</v>
      </c>
      <c r="I30" s="4">
        <v>677.1</v>
      </c>
      <c r="J30" s="4">
        <v>555</v>
      </c>
      <c r="K30" s="5">
        <v>44545</v>
      </c>
      <c r="L30" s="5">
        <v>44621</v>
      </c>
      <c r="M30" s="4" t="s">
        <v>17</v>
      </c>
    </row>
    <row r="31" spans="1:13" x14ac:dyDescent="0.25">
      <c r="A31" s="4" t="s">
        <v>13</v>
      </c>
      <c r="B31" s="5">
        <v>44500</v>
      </c>
      <c r="C31" s="4" t="str">
        <f>"0001235"</f>
        <v>0001235</v>
      </c>
      <c r="D31" s="4">
        <v>6107941670</v>
      </c>
      <c r="E31" s="5">
        <v>44517</v>
      </c>
      <c r="F31" s="4">
        <v>1505</v>
      </c>
      <c r="G31" s="4">
        <v>4103</v>
      </c>
      <c r="H31" s="4" t="s">
        <v>34</v>
      </c>
      <c r="I31" s="6">
        <v>2811.38</v>
      </c>
      <c r="J31" s="6">
        <v>2677.5</v>
      </c>
      <c r="K31" s="5">
        <v>44539</v>
      </c>
      <c r="L31" s="5">
        <v>44579</v>
      </c>
      <c r="M31" s="4" t="s">
        <v>19</v>
      </c>
    </row>
    <row r="32" spans="1:13" x14ac:dyDescent="0.25">
      <c r="A32" s="4" t="s">
        <v>13</v>
      </c>
      <c r="B32" s="5">
        <v>44500</v>
      </c>
      <c r="C32" s="4" t="str">
        <f>"0001236"</f>
        <v>0001236</v>
      </c>
      <c r="D32" s="4">
        <v>6107941683</v>
      </c>
      <c r="E32" s="5">
        <v>44517</v>
      </c>
      <c r="F32" s="4">
        <v>1504</v>
      </c>
      <c r="G32" s="4">
        <v>4103</v>
      </c>
      <c r="H32" s="4" t="s">
        <v>34</v>
      </c>
      <c r="I32" s="6">
        <v>2102.73</v>
      </c>
      <c r="J32" s="6">
        <v>2002.6</v>
      </c>
      <c r="K32" s="5">
        <v>44538</v>
      </c>
      <c r="L32" s="5">
        <v>44579</v>
      </c>
      <c r="M32" s="4" t="s">
        <v>19</v>
      </c>
    </row>
    <row r="33" spans="1:13" x14ac:dyDescent="0.25">
      <c r="A33" s="4" t="s">
        <v>13</v>
      </c>
      <c r="B33" s="5">
        <v>44500</v>
      </c>
      <c r="C33" s="4" t="str">
        <f>"9500052735"</f>
        <v>9500052735</v>
      </c>
      <c r="D33" s="4">
        <v>6073086135</v>
      </c>
      <c r="E33" s="5">
        <v>44532</v>
      </c>
      <c r="F33" s="4">
        <v>1526</v>
      </c>
      <c r="G33" s="4">
        <v>4742</v>
      </c>
      <c r="H33" s="4" t="s">
        <v>38</v>
      </c>
      <c r="I33" s="4">
        <v>573.5</v>
      </c>
      <c r="J33" s="4">
        <v>470.08</v>
      </c>
      <c r="K33" s="5">
        <v>44533</v>
      </c>
      <c r="L33" s="5">
        <v>44587</v>
      </c>
      <c r="M33" s="4" t="s">
        <v>17</v>
      </c>
    </row>
    <row r="34" spans="1:13" x14ac:dyDescent="0.25">
      <c r="A34" s="4" t="s">
        <v>13</v>
      </c>
      <c r="B34" s="5">
        <v>44500</v>
      </c>
      <c r="C34" s="4" t="str">
        <f>"05PA"</f>
        <v>05PA</v>
      </c>
      <c r="D34" s="4">
        <v>6111946761</v>
      </c>
      <c r="E34" s="5">
        <v>44525</v>
      </c>
      <c r="F34" s="4">
        <v>1519</v>
      </c>
      <c r="G34" s="4">
        <v>4970</v>
      </c>
      <c r="H34" s="4" t="s">
        <v>39</v>
      </c>
      <c r="I34" s="4">
        <v>122.98</v>
      </c>
      <c r="J34" s="4">
        <v>122.98</v>
      </c>
      <c r="K34" s="5">
        <v>44539</v>
      </c>
      <c r="L34" s="5">
        <v>44579</v>
      </c>
      <c r="M34" s="4" t="s">
        <v>19</v>
      </c>
    </row>
    <row r="35" spans="1:13" x14ac:dyDescent="0.25">
      <c r="A35" s="4" t="s">
        <v>13</v>
      </c>
      <c r="B35" s="5">
        <v>44499</v>
      </c>
      <c r="C35" s="4" t="str">
        <f>"309/E"</f>
        <v>309/E</v>
      </c>
      <c r="D35" s="4">
        <v>6215251978</v>
      </c>
      <c r="E35" s="5">
        <v>44551</v>
      </c>
      <c r="F35" s="4">
        <v>1590</v>
      </c>
      <c r="G35" s="4">
        <v>1565</v>
      </c>
      <c r="H35" s="4" t="s">
        <v>40</v>
      </c>
      <c r="I35" s="4">
        <v>289.26</v>
      </c>
      <c r="J35" s="4">
        <v>237.1</v>
      </c>
      <c r="K35" s="5">
        <v>44561</v>
      </c>
      <c r="L35" s="5">
        <v>44593</v>
      </c>
      <c r="M35" s="4" t="s">
        <v>19</v>
      </c>
    </row>
    <row r="36" spans="1:13" x14ac:dyDescent="0.25">
      <c r="A36" s="4" t="s">
        <v>13</v>
      </c>
      <c r="B36" s="5">
        <v>44498</v>
      </c>
      <c r="C36" s="4" t="str">
        <f>"218001001"</f>
        <v>218001001</v>
      </c>
      <c r="D36" s="4">
        <v>6078240239</v>
      </c>
      <c r="E36" s="5">
        <v>44581</v>
      </c>
      <c r="F36" s="4">
        <v>128</v>
      </c>
      <c r="G36" s="4">
        <v>4128</v>
      </c>
      <c r="H36" s="4" t="s">
        <v>29</v>
      </c>
      <c r="I36" s="4">
        <v>69.59</v>
      </c>
      <c r="J36" s="4">
        <v>57.08</v>
      </c>
      <c r="K36" s="5">
        <v>44533</v>
      </c>
      <c r="L36" s="5">
        <v>44618</v>
      </c>
      <c r="M36" s="4" t="s">
        <v>17</v>
      </c>
    </row>
    <row r="37" spans="1:13" x14ac:dyDescent="0.25">
      <c r="A37" s="4" t="s">
        <v>13</v>
      </c>
      <c r="B37" s="5">
        <v>44496</v>
      </c>
      <c r="C37" s="4" t="str">
        <f>"45/PA"</f>
        <v>45/PA</v>
      </c>
      <c r="D37" s="4">
        <v>6054921152</v>
      </c>
      <c r="E37" s="5">
        <v>44516</v>
      </c>
      <c r="F37" s="4">
        <v>1500</v>
      </c>
      <c r="G37" s="4">
        <v>3744</v>
      </c>
      <c r="H37" s="4" t="s">
        <v>41</v>
      </c>
      <c r="I37" s="6">
        <v>7101.12</v>
      </c>
      <c r="J37" s="6">
        <v>6828</v>
      </c>
      <c r="K37" s="5">
        <v>44561</v>
      </c>
      <c r="L37" s="5">
        <v>44601</v>
      </c>
      <c r="M37" s="4" t="s">
        <v>19</v>
      </c>
    </row>
    <row r="38" spans="1:13" x14ac:dyDescent="0.25">
      <c r="A38" s="4" t="s">
        <v>13</v>
      </c>
      <c r="B38" s="5">
        <v>44495</v>
      </c>
      <c r="C38" s="4" t="str">
        <f>"46/106"</f>
        <v>46/106</v>
      </c>
      <c r="D38" s="4">
        <v>6031116556</v>
      </c>
      <c r="E38" s="5">
        <v>44503</v>
      </c>
      <c r="F38" s="4">
        <v>1372</v>
      </c>
      <c r="G38" s="4">
        <v>3403</v>
      </c>
      <c r="H38" s="4" t="s">
        <v>42</v>
      </c>
      <c r="I38" s="6">
        <v>1949.56</v>
      </c>
      <c r="J38" s="6">
        <v>1598</v>
      </c>
      <c r="K38" s="5">
        <v>44530</v>
      </c>
      <c r="L38" s="5">
        <v>44604</v>
      </c>
      <c r="M38" s="4" t="s">
        <v>19</v>
      </c>
    </row>
    <row r="39" spans="1:13" x14ac:dyDescent="0.25">
      <c r="A39" s="4" t="s">
        <v>13</v>
      </c>
      <c r="B39" s="5">
        <v>44494</v>
      </c>
      <c r="C39" s="4" t="str">
        <f>"412110208284"</f>
        <v>412110208284</v>
      </c>
      <c r="D39" s="4">
        <v>6038220552</v>
      </c>
      <c r="E39" s="5">
        <v>44586</v>
      </c>
      <c r="F39" s="4">
        <v>246</v>
      </c>
      <c r="G39" s="4">
        <v>4994</v>
      </c>
      <c r="H39" s="4" t="s">
        <v>43</v>
      </c>
      <c r="I39" s="4">
        <v>67.83</v>
      </c>
      <c r="J39" s="4">
        <v>55.6</v>
      </c>
      <c r="K39" s="5">
        <v>44530</v>
      </c>
      <c r="L39" s="5">
        <v>44618</v>
      </c>
      <c r="M39" s="4" t="s">
        <v>19</v>
      </c>
    </row>
    <row r="40" spans="1:13" x14ac:dyDescent="0.25">
      <c r="A40" s="4" t="s">
        <v>13</v>
      </c>
      <c r="B40" s="5">
        <v>44494</v>
      </c>
      <c r="C40" s="4" t="str">
        <f>"412110208285"</f>
        <v>412110208285</v>
      </c>
      <c r="D40" s="4">
        <v>6038220991</v>
      </c>
      <c r="E40" s="5">
        <v>44586</v>
      </c>
      <c r="F40" s="4">
        <v>247</v>
      </c>
      <c r="G40" s="4">
        <v>4994</v>
      </c>
      <c r="H40" s="4" t="s">
        <v>43</v>
      </c>
      <c r="I40" s="4">
        <v>160.16</v>
      </c>
      <c r="J40" s="4">
        <v>131.28</v>
      </c>
      <c r="K40" s="5">
        <v>44530</v>
      </c>
      <c r="L40" s="5">
        <v>44618</v>
      </c>
      <c r="M40" s="4" t="s">
        <v>19</v>
      </c>
    </row>
    <row r="41" spans="1:13" x14ac:dyDescent="0.25">
      <c r="A41" s="4" t="s">
        <v>13</v>
      </c>
      <c r="B41" s="5">
        <v>44490</v>
      </c>
      <c r="C41" s="4" t="str">
        <f>"213"</f>
        <v>213</v>
      </c>
      <c r="D41" s="4">
        <v>6005541727</v>
      </c>
      <c r="E41" s="5">
        <v>44512</v>
      </c>
      <c r="F41" s="4">
        <v>1499</v>
      </c>
      <c r="G41" s="4">
        <v>4957</v>
      </c>
      <c r="H41" s="4" t="s">
        <v>44</v>
      </c>
      <c r="I41" s="4">
        <v>461.16</v>
      </c>
      <c r="J41" s="4">
        <v>378</v>
      </c>
      <c r="K41" s="5">
        <v>44551</v>
      </c>
      <c r="L41" s="5">
        <v>44604</v>
      </c>
      <c r="M41" s="4" t="s">
        <v>15</v>
      </c>
    </row>
    <row r="42" spans="1:13" x14ac:dyDescent="0.25">
      <c r="A42" s="4" t="s">
        <v>13</v>
      </c>
      <c r="B42" s="5">
        <v>44489</v>
      </c>
      <c r="C42" s="4" t="str">
        <f>"23231/16/10"</f>
        <v>23231/16/10</v>
      </c>
      <c r="D42" s="4">
        <v>5998011800</v>
      </c>
      <c r="E42" s="5">
        <v>44551</v>
      </c>
      <c r="F42" s="4">
        <v>1605</v>
      </c>
      <c r="G42" s="4">
        <v>3031</v>
      </c>
      <c r="H42" s="4" t="s">
        <v>45</v>
      </c>
      <c r="I42" s="4">
        <v>323.3</v>
      </c>
      <c r="J42" s="4">
        <v>265</v>
      </c>
      <c r="K42" s="5">
        <v>44561</v>
      </c>
      <c r="L42" s="5">
        <v>44631</v>
      </c>
      <c r="M42" s="4" t="s">
        <v>46</v>
      </c>
    </row>
    <row r="43" spans="1:13" x14ac:dyDescent="0.25">
      <c r="A43" s="4" t="s">
        <v>13</v>
      </c>
      <c r="B43" s="5">
        <v>44489</v>
      </c>
      <c r="C43" s="4" t="str">
        <f>"23233/16/10"</f>
        <v>23233/16/10</v>
      </c>
      <c r="D43" s="4">
        <v>5998012040</v>
      </c>
      <c r="E43" s="5">
        <v>44551</v>
      </c>
      <c r="F43" s="4">
        <v>1606</v>
      </c>
      <c r="G43" s="4">
        <v>3031</v>
      </c>
      <c r="H43" s="4" t="s">
        <v>45</v>
      </c>
      <c r="I43" s="4">
        <v>642.33000000000004</v>
      </c>
      <c r="J43" s="4">
        <v>526.5</v>
      </c>
      <c r="K43" s="5">
        <v>44561</v>
      </c>
      <c r="L43" s="5">
        <v>44631</v>
      </c>
      <c r="M43" s="4" t="s">
        <v>46</v>
      </c>
    </row>
    <row r="44" spans="1:13" x14ac:dyDescent="0.25">
      <c r="A44" s="4" t="s">
        <v>13</v>
      </c>
      <c r="B44" s="5">
        <v>44488</v>
      </c>
      <c r="C44" s="4" t="str">
        <f>"0142"</f>
        <v>0142</v>
      </c>
      <c r="D44" s="4">
        <v>5991854283</v>
      </c>
      <c r="E44" s="5">
        <v>44585</v>
      </c>
      <c r="F44" s="4">
        <v>184</v>
      </c>
      <c r="G44" s="4">
        <v>4671</v>
      </c>
      <c r="H44" s="4" t="s">
        <v>47</v>
      </c>
      <c r="I44" s="6">
        <v>2440</v>
      </c>
      <c r="J44" s="6">
        <v>2000</v>
      </c>
      <c r="K44" s="5">
        <v>44550</v>
      </c>
      <c r="L44" s="5">
        <v>44910</v>
      </c>
      <c r="M44" s="4" t="s">
        <v>15</v>
      </c>
    </row>
    <row r="45" spans="1:13" x14ac:dyDescent="0.25">
      <c r="A45" s="4" t="s">
        <v>13</v>
      </c>
      <c r="B45" s="5">
        <v>44483</v>
      </c>
      <c r="C45" s="4" t="str">
        <f>"22751/16/10"</f>
        <v>22751/16/10</v>
      </c>
      <c r="D45" s="4">
        <v>5965523742</v>
      </c>
      <c r="E45" s="5">
        <v>44574</v>
      </c>
      <c r="F45" s="4">
        <v>78</v>
      </c>
      <c r="G45" s="4">
        <v>3031</v>
      </c>
      <c r="H45" s="4" t="s">
        <v>45</v>
      </c>
      <c r="I45" s="4">
        <v>170.8</v>
      </c>
      <c r="J45" s="4">
        <v>140</v>
      </c>
      <c r="K45" s="5">
        <v>44561</v>
      </c>
      <c r="L45" s="5">
        <v>44608</v>
      </c>
      <c r="M45" s="4" t="s">
        <v>15</v>
      </c>
    </row>
    <row r="46" spans="1:13" x14ac:dyDescent="0.25">
      <c r="A46" s="4" t="s">
        <v>13</v>
      </c>
      <c r="B46" s="5">
        <v>44482</v>
      </c>
      <c r="C46" s="4" t="str">
        <f>"2/130"</f>
        <v>2/130</v>
      </c>
      <c r="D46" s="4">
        <v>5986208480</v>
      </c>
      <c r="E46" s="5">
        <v>44504</v>
      </c>
      <c r="F46" s="4">
        <v>1414</v>
      </c>
      <c r="G46" s="4">
        <v>2296</v>
      </c>
      <c r="H46" s="4" t="s">
        <v>48</v>
      </c>
      <c r="I46" s="4">
        <v>359.9</v>
      </c>
      <c r="J46" s="4">
        <v>295</v>
      </c>
      <c r="K46" s="5">
        <v>44530</v>
      </c>
      <c r="L46" s="5">
        <v>44604</v>
      </c>
      <c r="M46" s="4" t="s">
        <v>19</v>
      </c>
    </row>
    <row r="47" spans="1:13" x14ac:dyDescent="0.25">
      <c r="A47" s="4" t="s">
        <v>13</v>
      </c>
      <c r="B47" s="5">
        <v>44481</v>
      </c>
      <c r="C47" s="4" t="str">
        <f>"67/PA"</f>
        <v>67/PA</v>
      </c>
      <c r="D47" s="4">
        <v>5959733292</v>
      </c>
      <c r="E47" s="5">
        <v>44532</v>
      </c>
      <c r="F47" s="4">
        <v>1527</v>
      </c>
      <c r="G47" s="4">
        <v>223</v>
      </c>
      <c r="H47" s="4" t="s">
        <v>49</v>
      </c>
      <c r="I47" s="4">
        <v>750.5</v>
      </c>
      <c r="J47" s="4">
        <v>615.64</v>
      </c>
      <c r="K47" s="5">
        <v>44513</v>
      </c>
      <c r="L47" s="5">
        <v>44671</v>
      </c>
      <c r="M47" s="4" t="s">
        <v>17</v>
      </c>
    </row>
    <row r="48" spans="1:13" x14ac:dyDescent="0.25">
      <c r="A48" s="4" t="s">
        <v>13</v>
      </c>
      <c r="B48" s="5">
        <v>44480</v>
      </c>
      <c r="C48" s="4" t="str">
        <f>"0001125"</f>
        <v>0001125</v>
      </c>
      <c r="D48" s="4">
        <v>5990171426</v>
      </c>
      <c r="E48" s="5">
        <v>44503</v>
      </c>
      <c r="F48" s="4">
        <v>1369</v>
      </c>
      <c r="G48" s="4">
        <v>4103</v>
      </c>
      <c r="H48" s="4" t="s">
        <v>34</v>
      </c>
      <c r="I48" s="4">
        <v>123.5</v>
      </c>
      <c r="J48" s="4">
        <v>101.23</v>
      </c>
      <c r="K48" s="5">
        <v>44518</v>
      </c>
      <c r="L48" s="5">
        <v>44579</v>
      </c>
      <c r="M48" s="4" t="s">
        <v>19</v>
      </c>
    </row>
    <row r="49" spans="1:13" x14ac:dyDescent="0.25">
      <c r="A49" s="4" t="s">
        <v>50</v>
      </c>
      <c r="B49" s="5">
        <v>44480</v>
      </c>
      <c r="C49" s="4" t="str">
        <f>"0141"</f>
        <v>0141</v>
      </c>
      <c r="D49" s="4">
        <v>5941948378</v>
      </c>
      <c r="E49" s="5">
        <v>44585</v>
      </c>
      <c r="F49" s="4">
        <v>185</v>
      </c>
      <c r="G49" s="4">
        <v>4671</v>
      </c>
      <c r="H49" s="4" t="s">
        <v>47</v>
      </c>
      <c r="I49" s="6">
        <v>-2440</v>
      </c>
      <c r="J49" s="6">
        <v>-2440</v>
      </c>
      <c r="K49" s="5">
        <v>44510</v>
      </c>
      <c r="L49" s="5">
        <v>44910</v>
      </c>
      <c r="M49" s="4" t="s">
        <v>15</v>
      </c>
    </row>
    <row r="50" spans="1:13" x14ac:dyDescent="0.25">
      <c r="A50" s="4" t="s">
        <v>13</v>
      </c>
      <c r="B50" s="5">
        <v>44478</v>
      </c>
      <c r="C50" s="4" t="str">
        <f>"0000921900014409"</f>
        <v>0000921900014409</v>
      </c>
      <c r="D50" s="4">
        <v>5944977603</v>
      </c>
      <c r="E50" s="5">
        <v>44586</v>
      </c>
      <c r="F50" s="4">
        <v>254</v>
      </c>
      <c r="G50" s="4">
        <v>4915</v>
      </c>
      <c r="H50" s="4" t="s">
        <v>31</v>
      </c>
      <c r="I50" s="4">
        <v>24.53</v>
      </c>
      <c r="J50" s="4">
        <v>20.11</v>
      </c>
      <c r="K50" s="5">
        <v>44510</v>
      </c>
      <c r="L50" s="5">
        <v>44643</v>
      </c>
      <c r="M50" s="4" t="s">
        <v>19</v>
      </c>
    </row>
    <row r="51" spans="1:13" x14ac:dyDescent="0.25">
      <c r="A51" s="4" t="s">
        <v>13</v>
      </c>
      <c r="B51" s="5">
        <v>44478</v>
      </c>
      <c r="C51" s="4" t="str">
        <f>"0000921900014410"</f>
        <v>0000921900014410</v>
      </c>
      <c r="D51" s="4">
        <v>5944977348</v>
      </c>
      <c r="E51" s="5">
        <v>44586</v>
      </c>
      <c r="F51" s="4">
        <v>256</v>
      </c>
      <c r="G51" s="4">
        <v>4915</v>
      </c>
      <c r="H51" s="4" t="s">
        <v>31</v>
      </c>
      <c r="I51" s="4">
        <v>24.53</v>
      </c>
      <c r="J51" s="4">
        <v>20.11</v>
      </c>
      <c r="K51" s="5">
        <v>44511</v>
      </c>
      <c r="L51" s="5">
        <v>44643</v>
      </c>
      <c r="M51" s="4" t="s">
        <v>19</v>
      </c>
    </row>
    <row r="52" spans="1:13" x14ac:dyDescent="0.25">
      <c r="A52" s="4" t="s">
        <v>13</v>
      </c>
      <c r="B52" s="5">
        <v>44478</v>
      </c>
      <c r="C52" s="4" t="str">
        <f>"0000921900014411"</f>
        <v>0000921900014411</v>
      </c>
      <c r="D52" s="4">
        <v>5944978020</v>
      </c>
      <c r="E52" s="5">
        <v>44586</v>
      </c>
      <c r="F52" s="4">
        <v>255</v>
      </c>
      <c r="G52" s="4">
        <v>4915</v>
      </c>
      <c r="H52" s="4" t="s">
        <v>31</v>
      </c>
      <c r="I52" s="4">
        <v>24.53</v>
      </c>
      <c r="J52" s="4">
        <v>20.11</v>
      </c>
      <c r="K52" s="5">
        <v>44510</v>
      </c>
      <c r="L52" s="5">
        <v>44643</v>
      </c>
      <c r="M52" s="4" t="s">
        <v>19</v>
      </c>
    </row>
    <row r="53" spans="1:13" x14ac:dyDescent="0.25">
      <c r="A53" s="4" t="s">
        <v>13</v>
      </c>
      <c r="B53" s="5">
        <v>44478</v>
      </c>
      <c r="C53" s="4" t="str">
        <f>"0000921900014412"</f>
        <v>0000921900014412</v>
      </c>
      <c r="D53" s="4">
        <v>5944977999</v>
      </c>
      <c r="E53" s="5">
        <v>44586</v>
      </c>
      <c r="F53" s="4">
        <v>258</v>
      </c>
      <c r="G53" s="4">
        <v>4915</v>
      </c>
      <c r="H53" s="4" t="s">
        <v>31</v>
      </c>
      <c r="I53" s="4">
        <v>24.53</v>
      </c>
      <c r="J53" s="4">
        <v>20.11</v>
      </c>
      <c r="K53" s="5">
        <v>44511</v>
      </c>
      <c r="L53" s="5">
        <v>44618</v>
      </c>
      <c r="M53" s="4" t="s">
        <v>19</v>
      </c>
    </row>
    <row r="54" spans="1:13" x14ac:dyDescent="0.25">
      <c r="A54" s="4" t="s">
        <v>13</v>
      </c>
      <c r="B54" s="5">
        <v>44478</v>
      </c>
      <c r="C54" s="4" t="str">
        <f>"0000921900014428"</f>
        <v>0000921900014428</v>
      </c>
      <c r="D54" s="4">
        <v>5944978772</v>
      </c>
      <c r="E54" s="5">
        <v>44586</v>
      </c>
      <c r="F54" s="4">
        <v>257</v>
      </c>
      <c r="G54" s="4">
        <v>4915</v>
      </c>
      <c r="H54" s="4" t="s">
        <v>31</v>
      </c>
      <c r="I54" s="4">
        <v>24.53</v>
      </c>
      <c r="J54" s="4">
        <v>20.11</v>
      </c>
      <c r="K54" s="5">
        <v>44511</v>
      </c>
      <c r="L54" s="5">
        <v>44643</v>
      </c>
      <c r="M54" s="4" t="s">
        <v>19</v>
      </c>
    </row>
    <row r="55" spans="1:13" x14ac:dyDescent="0.25">
      <c r="A55" s="4" t="s">
        <v>13</v>
      </c>
      <c r="B55" s="5">
        <v>44477</v>
      </c>
      <c r="C55" s="4" t="str">
        <f>"FATTPA 57_21"</f>
        <v>FATTPA 57_21</v>
      </c>
      <c r="D55" s="4">
        <v>5922010347</v>
      </c>
      <c r="E55" s="5">
        <v>44504</v>
      </c>
      <c r="F55" s="4">
        <v>1409</v>
      </c>
      <c r="G55" s="4">
        <v>4619</v>
      </c>
      <c r="H55" s="4" t="s">
        <v>51</v>
      </c>
      <c r="I55" s="4">
        <v>31.46</v>
      </c>
      <c r="J55" s="4">
        <v>31.46</v>
      </c>
      <c r="K55" s="5">
        <v>44508</v>
      </c>
      <c r="L55" s="5">
        <v>44579</v>
      </c>
      <c r="M55" s="4" t="s">
        <v>19</v>
      </c>
    </row>
    <row r="56" spans="1:13" x14ac:dyDescent="0.25">
      <c r="A56" s="4" t="s">
        <v>13</v>
      </c>
      <c r="B56" s="5">
        <v>44477</v>
      </c>
      <c r="C56" s="4" t="str">
        <f>"1928/2021/V8"</f>
        <v>1928/2021/V8</v>
      </c>
      <c r="D56" s="4">
        <v>5924626749</v>
      </c>
      <c r="E56" s="5">
        <v>44585</v>
      </c>
      <c r="F56" s="4">
        <v>183</v>
      </c>
      <c r="G56" s="4">
        <v>4771</v>
      </c>
      <c r="H56" s="4" t="s">
        <v>52</v>
      </c>
      <c r="I56" s="6">
        <v>8845</v>
      </c>
      <c r="J56" s="6">
        <v>7250</v>
      </c>
      <c r="K56" s="5">
        <v>44561</v>
      </c>
      <c r="L56" s="5">
        <v>44616</v>
      </c>
      <c r="M56" s="4" t="s">
        <v>15</v>
      </c>
    </row>
    <row r="57" spans="1:13" x14ac:dyDescent="0.25">
      <c r="A57" s="4" t="s">
        <v>13</v>
      </c>
      <c r="B57" s="5">
        <v>44473</v>
      </c>
      <c r="C57" s="4" t="str">
        <f>"32"</f>
        <v>32</v>
      </c>
      <c r="D57" s="4">
        <v>5889571421</v>
      </c>
      <c r="E57" s="5">
        <v>44504</v>
      </c>
      <c r="F57" s="4">
        <v>1408</v>
      </c>
      <c r="G57" s="4">
        <v>1448</v>
      </c>
      <c r="H57" s="4" t="s">
        <v>53</v>
      </c>
      <c r="I57" s="4">
        <v>11.07</v>
      </c>
      <c r="J57" s="4">
        <v>11.07</v>
      </c>
      <c r="K57" s="5">
        <v>44504</v>
      </c>
      <c r="L57" s="5">
        <v>44579</v>
      </c>
      <c r="M57" s="4" t="s">
        <v>19</v>
      </c>
    </row>
    <row r="58" spans="1:13" x14ac:dyDescent="0.25">
      <c r="A58" s="4" t="s">
        <v>13</v>
      </c>
      <c r="B58" s="5">
        <v>44473</v>
      </c>
      <c r="C58" s="4" t="str">
        <f>"42/PA"</f>
        <v>42/PA</v>
      </c>
      <c r="D58" s="4">
        <v>5891502780</v>
      </c>
      <c r="E58" s="5">
        <v>44504</v>
      </c>
      <c r="F58" s="4">
        <v>1411</v>
      </c>
      <c r="G58" s="4">
        <v>3744</v>
      </c>
      <c r="H58" s="4" t="s">
        <v>41</v>
      </c>
      <c r="I58" s="6">
        <v>2367.04</v>
      </c>
      <c r="J58" s="6">
        <v>2276</v>
      </c>
      <c r="K58" s="5">
        <v>44534</v>
      </c>
      <c r="L58" s="5">
        <v>44601</v>
      </c>
      <c r="M58" s="4" t="s">
        <v>19</v>
      </c>
    </row>
    <row r="59" spans="1:13" x14ac:dyDescent="0.25">
      <c r="A59" s="4" t="s">
        <v>13</v>
      </c>
      <c r="B59" s="5">
        <v>44470</v>
      </c>
      <c r="C59" s="4" t="str">
        <f>"0000921900013568"</f>
        <v>0000921900013568</v>
      </c>
      <c r="D59" s="4">
        <v>5882484463</v>
      </c>
      <c r="E59" s="5">
        <v>44586</v>
      </c>
      <c r="F59" s="4">
        <v>253</v>
      </c>
      <c r="G59" s="4">
        <v>4915</v>
      </c>
      <c r="H59" s="4" t="s">
        <v>31</v>
      </c>
      <c r="I59" s="4">
        <v>24.53</v>
      </c>
      <c r="J59" s="4">
        <v>20.11</v>
      </c>
      <c r="K59" s="5">
        <v>44501</v>
      </c>
      <c r="L59" s="5">
        <v>44618</v>
      </c>
      <c r="M59" s="4" t="s">
        <v>19</v>
      </c>
    </row>
    <row r="60" spans="1:13" x14ac:dyDescent="0.25">
      <c r="A60" s="4" t="s">
        <v>13</v>
      </c>
      <c r="B60" s="5">
        <v>44469</v>
      </c>
      <c r="C60" s="4" t="str">
        <f>"10790/S"</f>
        <v>10790/S</v>
      </c>
      <c r="D60" s="4">
        <v>5889031081</v>
      </c>
      <c r="E60" s="5">
        <v>44504</v>
      </c>
      <c r="F60" s="4">
        <v>1410</v>
      </c>
      <c r="G60" s="4">
        <v>373</v>
      </c>
      <c r="H60" s="4" t="s">
        <v>54</v>
      </c>
      <c r="I60" s="4">
        <v>103.48</v>
      </c>
      <c r="J60" s="4">
        <v>99.5</v>
      </c>
      <c r="K60" s="5">
        <v>44503</v>
      </c>
      <c r="L60" s="5">
        <v>44604</v>
      </c>
      <c r="M60" s="4" t="s">
        <v>19</v>
      </c>
    </row>
    <row r="61" spans="1:13" x14ac:dyDescent="0.25">
      <c r="A61" s="4" t="s">
        <v>13</v>
      </c>
      <c r="B61" s="5">
        <v>44469</v>
      </c>
      <c r="C61" s="4" t="str">
        <f>"0005957769"</f>
        <v>0005957769</v>
      </c>
      <c r="D61" s="4">
        <v>5914304444</v>
      </c>
      <c r="E61" s="5">
        <v>44504</v>
      </c>
      <c r="F61" s="4">
        <v>1412</v>
      </c>
      <c r="G61" s="4">
        <v>2206</v>
      </c>
      <c r="H61" s="4" t="s">
        <v>36</v>
      </c>
      <c r="I61" s="4">
        <v>148</v>
      </c>
      <c r="J61" s="4">
        <v>148</v>
      </c>
      <c r="K61" s="5">
        <v>44530</v>
      </c>
      <c r="L61" s="5">
        <v>44604</v>
      </c>
      <c r="M61" s="4" t="s">
        <v>19</v>
      </c>
    </row>
    <row r="62" spans="1:13" x14ac:dyDescent="0.25">
      <c r="A62" s="4" t="s">
        <v>13</v>
      </c>
      <c r="B62" s="5">
        <v>44469</v>
      </c>
      <c r="C62" s="4" t="str">
        <f>"1232"</f>
        <v>1232</v>
      </c>
      <c r="D62" s="4">
        <v>5881640434</v>
      </c>
      <c r="E62" s="5">
        <v>44574</v>
      </c>
      <c r="F62" s="4">
        <v>75</v>
      </c>
      <c r="G62" s="4">
        <v>2441</v>
      </c>
      <c r="H62" s="4" t="s">
        <v>55</v>
      </c>
      <c r="I62" s="4">
        <v>195.2</v>
      </c>
      <c r="J62" s="4">
        <v>160</v>
      </c>
      <c r="K62" s="5">
        <v>44530</v>
      </c>
      <c r="L62" s="5">
        <v>44624</v>
      </c>
      <c r="M62" s="4" t="s">
        <v>15</v>
      </c>
    </row>
    <row r="63" spans="1:13" x14ac:dyDescent="0.25">
      <c r="A63" s="4" t="s">
        <v>13</v>
      </c>
      <c r="B63" s="5">
        <v>44469</v>
      </c>
      <c r="C63" s="4" t="str">
        <f>"1269"</f>
        <v>1269</v>
      </c>
      <c r="D63" s="4">
        <v>5881955975</v>
      </c>
      <c r="E63" s="5">
        <v>44504</v>
      </c>
      <c r="F63" s="4">
        <v>1432</v>
      </c>
      <c r="G63" s="4">
        <v>2441</v>
      </c>
      <c r="H63" s="4" t="s">
        <v>55</v>
      </c>
      <c r="I63" s="6">
        <v>1085.8</v>
      </c>
      <c r="J63" s="4">
        <v>890</v>
      </c>
      <c r="K63" s="5">
        <v>44502</v>
      </c>
      <c r="L63" s="5">
        <v>44641</v>
      </c>
      <c r="M63" s="4" t="s">
        <v>17</v>
      </c>
    </row>
    <row r="64" spans="1:13" x14ac:dyDescent="0.25">
      <c r="A64" s="4" t="s">
        <v>13</v>
      </c>
      <c r="B64" s="5">
        <v>44469</v>
      </c>
      <c r="C64" s="4" t="str">
        <f>"32021130"</f>
        <v>32021130</v>
      </c>
      <c r="D64" s="4">
        <v>5940053668</v>
      </c>
      <c r="E64" s="5">
        <v>44504</v>
      </c>
      <c r="F64" s="4">
        <v>1435</v>
      </c>
      <c r="G64" s="4">
        <v>2997</v>
      </c>
      <c r="H64" s="4" t="s">
        <v>37</v>
      </c>
      <c r="I64" s="6">
        <v>2043.5</v>
      </c>
      <c r="J64" s="6">
        <v>1675</v>
      </c>
      <c r="K64" s="5">
        <v>44510</v>
      </c>
      <c r="L64" s="5">
        <v>44604</v>
      </c>
      <c r="M64" s="4" t="s">
        <v>17</v>
      </c>
    </row>
    <row r="65" spans="1:13" x14ac:dyDescent="0.25">
      <c r="A65" s="4" t="s">
        <v>13</v>
      </c>
      <c r="B65" s="5">
        <v>44469</v>
      </c>
      <c r="C65" s="4" t="str">
        <f>"739"</f>
        <v>739</v>
      </c>
      <c r="D65" s="4">
        <v>5907476906</v>
      </c>
      <c r="E65" s="5">
        <v>44481</v>
      </c>
      <c r="F65" s="4">
        <v>1351</v>
      </c>
      <c r="G65" s="4">
        <v>4037</v>
      </c>
      <c r="H65" s="4" t="s">
        <v>32</v>
      </c>
      <c r="I65" s="4">
        <v>549</v>
      </c>
      <c r="J65" s="4">
        <v>450</v>
      </c>
      <c r="K65" s="5">
        <v>44505</v>
      </c>
      <c r="L65" s="5">
        <v>44604</v>
      </c>
      <c r="M65" s="4" t="s">
        <v>19</v>
      </c>
    </row>
    <row r="66" spans="1:13" x14ac:dyDescent="0.25">
      <c r="A66" s="4" t="s">
        <v>13</v>
      </c>
      <c r="B66" s="5">
        <v>44469</v>
      </c>
      <c r="C66" s="4" t="str">
        <f>"0001110"</f>
        <v>0001110</v>
      </c>
      <c r="D66" s="4">
        <v>6009989962</v>
      </c>
      <c r="E66" s="5">
        <v>44517</v>
      </c>
      <c r="F66" s="4">
        <v>1503</v>
      </c>
      <c r="G66" s="4">
        <v>4103</v>
      </c>
      <c r="H66" s="4" t="s">
        <v>34</v>
      </c>
      <c r="I66" s="6">
        <v>1781.14</v>
      </c>
      <c r="J66" s="6">
        <v>1696.32</v>
      </c>
      <c r="K66" s="5">
        <v>44521</v>
      </c>
      <c r="L66" s="5">
        <v>44579</v>
      </c>
      <c r="M66" s="4" t="s">
        <v>19</v>
      </c>
    </row>
    <row r="67" spans="1:13" x14ac:dyDescent="0.25">
      <c r="A67" s="4" t="s">
        <v>13</v>
      </c>
      <c r="B67" s="5">
        <v>44469</v>
      </c>
      <c r="C67" s="4" t="str">
        <f>"0001111"</f>
        <v>0001111</v>
      </c>
      <c r="D67" s="4">
        <v>6009989932</v>
      </c>
      <c r="E67" s="5">
        <v>44517</v>
      </c>
      <c r="F67" s="4">
        <v>1502</v>
      </c>
      <c r="G67" s="4">
        <v>4103</v>
      </c>
      <c r="H67" s="4" t="s">
        <v>34</v>
      </c>
      <c r="I67" s="6">
        <v>1204.8800000000001</v>
      </c>
      <c r="J67" s="6">
        <v>1147.5</v>
      </c>
      <c r="K67" s="5">
        <v>44521</v>
      </c>
      <c r="L67" s="5">
        <v>44579</v>
      </c>
      <c r="M67" s="4" t="s">
        <v>19</v>
      </c>
    </row>
    <row r="68" spans="1:13" x14ac:dyDescent="0.25">
      <c r="A68" s="4" t="s">
        <v>13</v>
      </c>
      <c r="B68" s="5">
        <v>44469</v>
      </c>
      <c r="C68" s="4" t="str">
        <f>"284/E"</f>
        <v>284/E</v>
      </c>
      <c r="D68" s="4">
        <v>5904342714</v>
      </c>
      <c r="E68" s="5">
        <v>44504</v>
      </c>
      <c r="F68" s="4">
        <v>1434</v>
      </c>
      <c r="G68" s="4">
        <v>4669</v>
      </c>
      <c r="H68" s="4" t="s">
        <v>56</v>
      </c>
      <c r="I68" s="6">
        <v>3954.02</v>
      </c>
      <c r="J68" s="6">
        <v>3241</v>
      </c>
      <c r="K68" s="5">
        <v>44505</v>
      </c>
      <c r="L68" s="5">
        <v>44596</v>
      </c>
      <c r="M68" s="4" t="s">
        <v>17</v>
      </c>
    </row>
    <row r="69" spans="1:13" x14ac:dyDescent="0.25">
      <c r="A69" s="4" t="s">
        <v>13</v>
      </c>
      <c r="B69" s="5">
        <v>44469</v>
      </c>
      <c r="C69" s="4" t="str">
        <f>"7009865684"</f>
        <v>7009865684</v>
      </c>
      <c r="D69" s="4">
        <v>5887026178</v>
      </c>
      <c r="E69" s="5">
        <v>44504</v>
      </c>
      <c r="F69" s="4">
        <v>1433</v>
      </c>
      <c r="G69" s="4">
        <v>4742</v>
      </c>
      <c r="H69" s="4" t="s">
        <v>38</v>
      </c>
      <c r="I69" s="4">
        <v>883</v>
      </c>
      <c r="J69" s="4">
        <v>723.77</v>
      </c>
      <c r="K69" s="5">
        <v>44503</v>
      </c>
      <c r="L69" s="5">
        <v>44587</v>
      </c>
      <c r="M69" s="4" t="s">
        <v>17</v>
      </c>
    </row>
    <row r="70" spans="1:13" x14ac:dyDescent="0.25">
      <c r="A70" s="4" t="s">
        <v>13</v>
      </c>
      <c r="B70" s="5">
        <v>44467</v>
      </c>
      <c r="C70" s="4" t="str">
        <f>"21234/16/10"</f>
        <v>21234/16/10</v>
      </c>
      <c r="D70" s="4">
        <v>5852276253</v>
      </c>
      <c r="E70" s="5">
        <v>44504</v>
      </c>
      <c r="F70" s="4">
        <v>1430</v>
      </c>
      <c r="G70" s="4">
        <v>3031</v>
      </c>
      <c r="H70" s="4" t="s">
        <v>45</v>
      </c>
      <c r="I70" s="6">
        <v>11181.3</v>
      </c>
      <c r="J70" s="6">
        <v>9165</v>
      </c>
      <c r="K70" s="5">
        <v>44500</v>
      </c>
      <c r="L70" s="5">
        <v>44631</v>
      </c>
      <c r="M70" s="4" t="s">
        <v>17</v>
      </c>
    </row>
    <row r="71" spans="1:13" x14ac:dyDescent="0.25">
      <c r="A71" s="4" t="s">
        <v>13</v>
      </c>
      <c r="B71" s="5">
        <v>44467</v>
      </c>
      <c r="C71" s="4" t="str">
        <f>"21235/16/10"</f>
        <v>21235/16/10</v>
      </c>
      <c r="D71" s="4">
        <v>5852276283</v>
      </c>
      <c r="E71" s="5">
        <v>44504</v>
      </c>
      <c r="F71" s="4">
        <v>1429</v>
      </c>
      <c r="G71" s="4">
        <v>3031</v>
      </c>
      <c r="H71" s="4" t="s">
        <v>45</v>
      </c>
      <c r="I71" s="6">
        <v>2147.1999999999998</v>
      </c>
      <c r="J71" s="6">
        <v>1760</v>
      </c>
      <c r="K71" s="5">
        <v>44500</v>
      </c>
      <c r="L71" s="5">
        <v>44631</v>
      </c>
      <c r="M71" s="4" t="s">
        <v>17</v>
      </c>
    </row>
    <row r="72" spans="1:13" x14ac:dyDescent="0.25">
      <c r="A72" s="4" t="s">
        <v>13</v>
      </c>
      <c r="B72" s="5">
        <v>44467</v>
      </c>
      <c r="C72" s="4" t="str">
        <f>"21236/16/10"</f>
        <v>21236/16/10</v>
      </c>
      <c r="D72" s="4">
        <v>5852277029</v>
      </c>
      <c r="E72" s="5">
        <v>44504</v>
      </c>
      <c r="F72" s="4">
        <v>1431</v>
      </c>
      <c r="G72" s="4">
        <v>3031</v>
      </c>
      <c r="H72" s="4" t="s">
        <v>45</v>
      </c>
      <c r="I72" s="6">
        <v>1098</v>
      </c>
      <c r="J72" s="4">
        <v>900</v>
      </c>
      <c r="K72" s="5">
        <v>44500</v>
      </c>
      <c r="L72" s="5">
        <v>44631</v>
      </c>
      <c r="M72" s="4" t="s">
        <v>17</v>
      </c>
    </row>
    <row r="73" spans="1:13" x14ac:dyDescent="0.25">
      <c r="A73" s="4" t="s">
        <v>13</v>
      </c>
      <c r="B73" s="5">
        <v>44466</v>
      </c>
      <c r="C73" s="4" t="str">
        <f>"1249/X"</f>
        <v>1249/X</v>
      </c>
      <c r="D73" s="4">
        <v>5852278602</v>
      </c>
      <c r="E73" s="5">
        <v>44504</v>
      </c>
      <c r="F73" s="4">
        <v>1427</v>
      </c>
      <c r="G73" s="4">
        <v>2344</v>
      </c>
      <c r="H73" s="4" t="s">
        <v>57</v>
      </c>
      <c r="I73" s="6">
        <v>20283.64</v>
      </c>
      <c r="J73" s="6">
        <v>18439.669999999998</v>
      </c>
      <c r="K73" s="5">
        <v>44559</v>
      </c>
      <c r="L73" s="5">
        <v>44580</v>
      </c>
      <c r="M73" s="4" t="s">
        <v>17</v>
      </c>
    </row>
    <row r="74" spans="1:13" x14ac:dyDescent="0.25">
      <c r="A74" s="4" t="s">
        <v>13</v>
      </c>
      <c r="B74" s="5">
        <v>44466</v>
      </c>
      <c r="C74" s="4" t="str">
        <f>"1304/X"</f>
        <v>1304/X</v>
      </c>
      <c r="D74" s="4">
        <v>5852282343</v>
      </c>
      <c r="E74" s="5">
        <v>44504</v>
      </c>
      <c r="F74" s="4">
        <v>1426</v>
      </c>
      <c r="G74" s="4">
        <v>2344</v>
      </c>
      <c r="H74" s="4" t="s">
        <v>57</v>
      </c>
      <c r="I74" s="6">
        <v>14980.81</v>
      </c>
      <c r="J74" s="6">
        <v>13618.92</v>
      </c>
      <c r="K74" s="5">
        <v>44559</v>
      </c>
      <c r="L74" s="5">
        <v>44580</v>
      </c>
      <c r="M74" s="4" t="s">
        <v>17</v>
      </c>
    </row>
    <row r="75" spans="1:13" x14ac:dyDescent="0.25">
      <c r="A75" s="4" t="s">
        <v>13</v>
      </c>
      <c r="B75" s="5">
        <v>44462</v>
      </c>
      <c r="C75" s="4" t="str">
        <f>"1/999"</f>
        <v>1/999</v>
      </c>
      <c r="D75" s="4">
        <v>5826871793</v>
      </c>
      <c r="E75" s="5">
        <v>44574</v>
      </c>
      <c r="F75" s="4">
        <v>74</v>
      </c>
      <c r="G75" s="4">
        <v>2768</v>
      </c>
      <c r="H75" s="4" t="s">
        <v>58</v>
      </c>
      <c r="I75" s="4">
        <v>634.4</v>
      </c>
      <c r="J75" s="4">
        <v>520</v>
      </c>
      <c r="K75" s="5">
        <v>44523</v>
      </c>
      <c r="L75" s="5">
        <v>44777</v>
      </c>
      <c r="M75" s="4" t="s">
        <v>15</v>
      </c>
    </row>
    <row r="76" spans="1:13" x14ac:dyDescent="0.25">
      <c r="A76" s="4" t="s">
        <v>13</v>
      </c>
      <c r="B76" s="5">
        <v>44456</v>
      </c>
      <c r="C76" s="4" t="str">
        <f>"1410002325"</f>
        <v>1410002325</v>
      </c>
      <c r="D76" s="4">
        <v>5804170613</v>
      </c>
      <c r="E76" s="5">
        <v>44551</v>
      </c>
      <c r="F76" s="4">
        <v>1604</v>
      </c>
      <c r="G76" s="4">
        <v>2709</v>
      </c>
      <c r="H76" s="4" t="s">
        <v>59</v>
      </c>
      <c r="I76" s="4">
        <v>342.16</v>
      </c>
      <c r="J76" s="4">
        <v>329</v>
      </c>
      <c r="K76" s="5">
        <v>44530</v>
      </c>
      <c r="L76" s="5">
        <v>44631</v>
      </c>
      <c r="M76" s="4" t="s">
        <v>46</v>
      </c>
    </row>
    <row r="77" spans="1:13" x14ac:dyDescent="0.25">
      <c r="A77" s="4" t="s">
        <v>13</v>
      </c>
      <c r="B77" s="5">
        <v>44456</v>
      </c>
      <c r="C77" s="4" t="str">
        <f>"20690/16/10"</f>
        <v>20690/16/10</v>
      </c>
      <c r="D77" s="4">
        <v>5799675929</v>
      </c>
      <c r="E77" s="5">
        <v>44476</v>
      </c>
      <c r="F77" s="4">
        <v>1345</v>
      </c>
      <c r="G77" s="4">
        <v>3031</v>
      </c>
      <c r="H77" s="4" t="s">
        <v>45</v>
      </c>
      <c r="I77" s="4">
        <v>207.4</v>
      </c>
      <c r="J77" s="4">
        <v>170</v>
      </c>
      <c r="K77" s="5">
        <v>44530</v>
      </c>
      <c r="L77" s="5">
        <v>44608</v>
      </c>
      <c r="M77" s="4" t="s">
        <v>15</v>
      </c>
    </row>
    <row r="78" spans="1:13" x14ac:dyDescent="0.25">
      <c r="A78" s="4" t="s">
        <v>13</v>
      </c>
      <c r="B78" s="5">
        <v>44455</v>
      </c>
      <c r="C78" s="4" t="str">
        <f>"1187/X"</f>
        <v>1187/X</v>
      </c>
      <c r="D78" s="4">
        <v>5808690392</v>
      </c>
      <c r="E78" s="5">
        <v>44504</v>
      </c>
      <c r="F78" s="4">
        <v>1424</v>
      </c>
      <c r="G78" s="4">
        <v>2344</v>
      </c>
      <c r="H78" s="4" t="s">
        <v>57</v>
      </c>
      <c r="I78" s="6">
        <v>13697.77</v>
      </c>
      <c r="J78" s="6">
        <v>12452.52</v>
      </c>
      <c r="K78" s="5">
        <v>44559</v>
      </c>
      <c r="L78" s="5">
        <v>44580</v>
      </c>
      <c r="M78" s="4" t="s">
        <v>17</v>
      </c>
    </row>
    <row r="79" spans="1:13" x14ac:dyDescent="0.25">
      <c r="A79" s="4" t="s">
        <v>50</v>
      </c>
      <c r="B79" s="5">
        <v>44455</v>
      </c>
      <c r="C79" s="4" t="str">
        <f>"1188/X"</f>
        <v>1188/X</v>
      </c>
      <c r="D79" s="4">
        <v>5808690404</v>
      </c>
      <c r="E79" s="5">
        <v>44504</v>
      </c>
      <c r="F79" s="4">
        <v>1423</v>
      </c>
      <c r="G79" s="4">
        <v>2344</v>
      </c>
      <c r="H79" s="4" t="s">
        <v>57</v>
      </c>
      <c r="I79" s="6">
        <v>-11745.82</v>
      </c>
      <c r="J79" s="6">
        <v>-10678.02</v>
      </c>
      <c r="K79" s="5">
        <v>44559</v>
      </c>
      <c r="L79" s="5">
        <v>44580</v>
      </c>
      <c r="M79" s="4" t="s">
        <v>17</v>
      </c>
    </row>
    <row r="80" spans="1:13" x14ac:dyDescent="0.25">
      <c r="A80" s="4" t="s">
        <v>13</v>
      </c>
      <c r="B80" s="5">
        <v>44455</v>
      </c>
      <c r="C80" s="4" t="str">
        <f>"FPA 3/21"</f>
        <v>FPA 3/21</v>
      </c>
      <c r="D80" s="4">
        <v>5792958302</v>
      </c>
      <c r="E80" s="5">
        <v>44588</v>
      </c>
      <c r="F80" s="4">
        <v>278</v>
      </c>
      <c r="G80" s="4">
        <v>4950</v>
      </c>
      <c r="H80" s="4" t="s">
        <v>60</v>
      </c>
      <c r="I80" s="6">
        <v>1560</v>
      </c>
      <c r="J80" s="6">
        <v>1560</v>
      </c>
      <c r="K80" s="5">
        <v>44515</v>
      </c>
      <c r="L80" s="5">
        <v>44631</v>
      </c>
      <c r="M80" s="4" t="s">
        <v>15</v>
      </c>
    </row>
    <row r="81" spans="1:13" x14ac:dyDescent="0.25">
      <c r="A81" s="4" t="s">
        <v>13</v>
      </c>
      <c r="B81" s="5">
        <v>44454</v>
      </c>
      <c r="C81" s="4" t="str">
        <f>"33 112"</f>
        <v>33 112</v>
      </c>
      <c r="D81" s="4">
        <v>5791439561</v>
      </c>
      <c r="E81" s="5">
        <v>44504</v>
      </c>
      <c r="F81" s="4">
        <v>1421</v>
      </c>
      <c r="G81" s="4">
        <v>2980</v>
      </c>
      <c r="H81" s="4" t="s">
        <v>61</v>
      </c>
      <c r="I81" s="4">
        <v>232.67</v>
      </c>
      <c r="J81" s="4">
        <v>190.71</v>
      </c>
      <c r="K81" s="5">
        <v>44485</v>
      </c>
      <c r="L81" s="5">
        <v>44601</v>
      </c>
      <c r="M81" s="4" t="s">
        <v>17</v>
      </c>
    </row>
    <row r="82" spans="1:13" x14ac:dyDescent="0.25">
      <c r="A82" s="4" t="s">
        <v>13</v>
      </c>
      <c r="B82" s="5">
        <v>44454</v>
      </c>
      <c r="C82" s="4" t="str">
        <f>"33 113"</f>
        <v>33 113</v>
      </c>
      <c r="D82" s="4">
        <v>5791439572</v>
      </c>
      <c r="E82" s="5">
        <v>44504</v>
      </c>
      <c r="F82" s="4">
        <v>1422</v>
      </c>
      <c r="G82" s="4">
        <v>2980</v>
      </c>
      <c r="H82" s="4" t="s">
        <v>61</v>
      </c>
      <c r="I82" s="4">
        <v>232.67</v>
      </c>
      <c r="J82" s="4">
        <v>190.71</v>
      </c>
      <c r="K82" s="5">
        <v>44485</v>
      </c>
      <c r="L82" s="5">
        <v>44601</v>
      </c>
      <c r="M82" s="4" t="s">
        <v>17</v>
      </c>
    </row>
    <row r="83" spans="1:13" x14ac:dyDescent="0.25">
      <c r="A83" s="4" t="s">
        <v>13</v>
      </c>
      <c r="B83" s="5">
        <v>44454</v>
      </c>
      <c r="C83" s="4" t="str">
        <f>"33 114"</f>
        <v>33 114</v>
      </c>
      <c r="D83" s="4">
        <v>5791439559</v>
      </c>
      <c r="E83" s="5">
        <v>44504</v>
      </c>
      <c r="F83" s="4">
        <v>1420</v>
      </c>
      <c r="G83" s="4">
        <v>2980</v>
      </c>
      <c r="H83" s="4" t="s">
        <v>61</v>
      </c>
      <c r="I83" s="4">
        <v>232.67</v>
      </c>
      <c r="J83" s="4">
        <v>190.71</v>
      </c>
      <c r="K83" s="5">
        <v>44485</v>
      </c>
      <c r="L83" s="5">
        <v>44601</v>
      </c>
      <c r="M83" s="4" t="s">
        <v>17</v>
      </c>
    </row>
    <row r="84" spans="1:13" x14ac:dyDescent="0.25">
      <c r="A84" s="4" t="s">
        <v>13</v>
      </c>
      <c r="B84" s="5">
        <v>44454</v>
      </c>
      <c r="C84" s="4" t="str">
        <f>"121"</f>
        <v>121</v>
      </c>
      <c r="D84" s="4">
        <v>5787566682</v>
      </c>
      <c r="E84" s="5">
        <v>44504</v>
      </c>
      <c r="F84" s="4">
        <v>1419</v>
      </c>
      <c r="G84" s="4">
        <v>4163</v>
      </c>
      <c r="H84" s="4" t="s">
        <v>62</v>
      </c>
      <c r="I84" s="6">
        <v>1171.2</v>
      </c>
      <c r="J84" s="4">
        <v>960</v>
      </c>
      <c r="K84" s="5">
        <v>44530</v>
      </c>
      <c r="L84" s="5">
        <v>44604</v>
      </c>
      <c r="M84" s="4" t="s">
        <v>17</v>
      </c>
    </row>
    <row r="85" spans="1:13" x14ac:dyDescent="0.25">
      <c r="A85" s="4" t="s">
        <v>13</v>
      </c>
      <c r="B85" s="5">
        <v>44445</v>
      </c>
      <c r="C85" s="4" t="str">
        <f>"FATTPA 110_21"</f>
        <v>FATTPA 110_21</v>
      </c>
      <c r="D85" s="4">
        <v>5722436805</v>
      </c>
      <c r="E85" s="5">
        <v>44504</v>
      </c>
      <c r="F85" s="4">
        <v>1418</v>
      </c>
      <c r="G85" s="4">
        <v>3772</v>
      </c>
      <c r="H85" s="4" t="s">
        <v>63</v>
      </c>
      <c r="I85" s="6">
        <v>1232.2</v>
      </c>
      <c r="J85" s="6">
        <v>1010</v>
      </c>
      <c r="K85" s="5">
        <v>44475</v>
      </c>
      <c r="L85" s="5">
        <v>44601</v>
      </c>
      <c r="M85" s="4" t="s">
        <v>17</v>
      </c>
    </row>
    <row r="86" spans="1:13" x14ac:dyDescent="0.25">
      <c r="A86" s="4" t="s">
        <v>13</v>
      </c>
      <c r="B86" s="5">
        <v>44445</v>
      </c>
      <c r="C86" s="4" t="str">
        <f>"338"</f>
        <v>338</v>
      </c>
      <c r="D86" s="4">
        <v>5779038877</v>
      </c>
      <c r="E86" s="5">
        <v>44471</v>
      </c>
      <c r="F86" s="4">
        <v>1281</v>
      </c>
      <c r="G86" s="4">
        <v>3960</v>
      </c>
      <c r="H86" s="4" t="s">
        <v>24</v>
      </c>
      <c r="I86" s="4">
        <v>156</v>
      </c>
      <c r="J86" s="4">
        <v>150</v>
      </c>
      <c r="K86" s="5">
        <v>44483</v>
      </c>
      <c r="L86" s="5">
        <v>44629</v>
      </c>
      <c r="M86" s="4" t="s">
        <v>46</v>
      </c>
    </row>
    <row r="87" spans="1:13" x14ac:dyDescent="0.25">
      <c r="A87" s="4" t="s">
        <v>13</v>
      </c>
      <c r="B87" s="5">
        <v>44442</v>
      </c>
      <c r="C87" s="4" t="str">
        <f>"2307/PA"</f>
        <v>2307/PA</v>
      </c>
      <c r="D87" s="4">
        <v>5715368098</v>
      </c>
      <c r="E87" s="5">
        <v>44551</v>
      </c>
      <c r="F87" s="4">
        <v>1607</v>
      </c>
      <c r="G87" s="4">
        <v>4509</v>
      </c>
      <c r="H87" s="4" t="s">
        <v>64</v>
      </c>
      <c r="I87" s="6">
        <v>1586.85</v>
      </c>
      <c r="J87" s="6">
        <v>1300.7</v>
      </c>
      <c r="K87" s="5">
        <v>44503</v>
      </c>
      <c r="L87" s="5">
        <v>44905</v>
      </c>
      <c r="M87" s="4" t="s">
        <v>46</v>
      </c>
    </row>
    <row r="88" spans="1:13" x14ac:dyDescent="0.25">
      <c r="A88" s="4" t="s">
        <v>13</v>
      </c>
      <c r="B88" s="5">
        <v>44440</v>
      </c>
      <c r="C88" s="4" t="str">
        <f>"32/FE"</f>
        <v>32/FE</v>
      </c>
      <c r="D88" s="4">
        <v>5698033291</v>
      </c>
      <c r="E88" s="5">
        <v>44455</v>
      </c>
      <c r="F88" s="4">
        <v>1230</v>
      </c>
      <c r="G88" s="4">
        <v>2233</v>
      </c>
      <c r="H88" s="4" t="s">
        <v>65</v>
      </c>
      <c r="I88" s="6">
        <v>2550.08</v>
      </c>
      <c r="J88" s="6">
        <v>2550.08</v>
      </c>
      <c r="K88" s="5">
        <v>44470</v>
      </c>
      <c r="L88" s="5">
        <v>44735</v>
      </c>
      <c r="M88" s="4" t="s">
        <v>15</v>
      </c>
    </row>
    <row r="89" spans="1:13" x14ac:dyDescent="0.25">
      <c r="A89" s="4" t="s">
        <v>13</v>
      </c>
      <c r="B89" s="5">
        <v>44440</v>
      </c>
      <c r="C89" s="4" t="str">
        <f>"33/FE"</f>
        <v>33/FE</v>
      </c>
      <c r="D89" s="4">
        <v>5698186212</v>
      </c>
      <c r="E89" s="5">
        <v>44455</v>
      </c>
      <c r="F89" s="4">
        <v>1229</v>
      </c>
      <c r="G89" s="4">
        <v>2233</v>
      </c>
      <c r="H89" s="4" t="s">
        <v>65</v>
      </c>
      <c r="I89" s="6">
        <v>1795.1</v>
      </c>
      <c r="J89" s="6">
        <v>1795.1</v>
      </c>
      <c r="K89" s="5">
        <v>44470</v>
      </c>
      <c r="L89" s="5">
        <v>44597</v>
      </c>
      <c r="M89" s="4" t="s">
        <v>15</v>
      </c>
    </row>
    <row r="90" spans="1:13" x14ac:dyDescent="0.25">
      <c r="A90" s="4" t="s">
        <v>13</v>
      </c>
      <c r="B90" s="5">
        <v>44439</v>
      </c>
      <c r="C90" s="4" t="str">
        <f>"263"</f>
        <v>263</v>
      </c>
      <c r="D90" s="4">
        <v>5689555312</v>
      </c>
      <c r="E90" s="5">
        <v>44585</v>
      </c>
      <c r="F90" s="4">
        <v>182</v>
      </c>
      <c r="G90" s="4">
        <v>4670</v>
      </c>
      <c r="H90" s="4" t="s">
        <v>66</v>
      </c>
      <c r="I90" s="6">
        <v>3450.16</v>
      </c>
      <c r="J90" s="6">
        <v>2828</v>
      </c>
      <c r="K90" s="5">
        <v>44499</v>
      </c>
      <c r="L90" s="5">
        <v>44910</v>
      </c>
      <c r="M90" s="4" t="s">
        <v>15</v>
      </c>
    </row>
    <row r="91" spans="1:13" x14ac:dyDescent="0.25">
      <c r="A91" s="4" t="s">
        <v>13</v>
      </c>
      <c r="B91" s="5">
        <v>44439</v>
      </c>
      <c r="C91" s="4" t="str">
        <f>"0116"</f>
        <v>0116</v>
      </c>
      <c r="D91" s="4">
        <v>5715362742</v>
      </c>
      <c r="E91" s="5">
        <v>44480</v>
      </c>
      <c r="F91" s="4">
        <v>1346</v>
      </c>
      <c r="G91" s="4">
        <v>4671</v>
      </c>
      <c r="H91" s="4" t="s">
        <v>47</v>
      </c>
      <c r="I91" s="6">
        <v>2440</v>
      </c>
      <c r="J91" s="6">
        <v>2440</v>
      </c>
      <c r="K91" s="5">
        <v>44472</v>
      </c>
      <c r="L91" s="5">
        <v>44910</v>
      </c>
      <c r="M91" s="4" t="s">
        <v>15</v>
      </c>
    </row>
    <row r="92" spans="1:13" x14ac:dyDescent="0.25">
      <c r="A92" s="4" t="s">
        <v>13</v>
      </c>
      <c r="B92" s="5">
        <v>44439</v>
      </c>
      <c r="C92" s="4" t="str">
        <f>"7009796120"</f>
        <v>7009796120</v>
      </c>
      <c r="D92" s="4">
        <v>5711326436</v>
      </c>
      <c r="E92" s="5">
        <v>44504</v>
      </c>
      <c r="F92" s="4">
        <v>1417</v>
      </c>
      <c r="G92" s="4">
        <v>4742</v>
      </c>
      <c r="H92" s="4" t="s">
        <v>38</v>
      </c>
      <c r="I92" s="4">
        <v>850</v>
      </c>
      <c r="J92" s="4">
        <v>696.72</v>
      </c>
      <c r="K92" s="5">
        <v>44472</v>
      </c>
      <c r="L92" s="5">
        <v>44587</v>
      </c>
      <c r="M92" s="4" t="s">
        <v>17</v>
      </c>
    </row>
    <row r="93" spans="1:13" x14ac:dyDescent="0.25">
      <c r="A93" s="4" t="s">
        <v>13</v>
      </c>
      <c r="B93" s="5">
        <v>44438</v>
      </c>
      <c r="C93" s="4" t="str">
        <f>"01/000116"</f>
        <v>01/000116</v>
      </c>
      <c r="D93" s="4">
        <v>5681768696</v>
      </c>
      <c r="E93" s="5">
        <v>44450</v>
      </c>
      <c r="F93" s="4">
        <v>1213</v>
      </c>
      <c r="G93" s="4">
        <v>4855</v>
      </c>
      <c r="H93" s="4" t="s">
        <v>67</v>
      </c>
      <c r="I93" s="6">
        <v>48434</v>
      </c>
      <c r="J93" s="6">
        <v>39700</v>
      </c>
      <c r="K93" s="5">
        <v>44500</v>
      </c>
      <c r="L93" s="5">
        <v>44604</v>
      </c>
      <c r="M93" s="4" t="s">
        <v>15</v>
      </c>
    </row>
    <row r="94" spans="1:13" x14ac:dyDescent="0.25">
      <c r="A94" s="4" t="s">
        <v>13</v>
      </c>
      <c r="B94" s="5">
        <v>44435</v>
      </c>
      <c r="C94" s="4" t="str">
        <f>"38"</f>
        <v>38</v>
      </c>
      <c r="D94" s="4">
        <v>5682886721</v>
      </c>
      <c r="E94" s="5">
        <v>44450</v>
      </c>
      <c r="F94" s="4">
        <v>1215</v>
      </c>
      <c r="G94" s="4">
        <v>3089</v>
      </c>
      <c r="H94" s="4" t="s">
        <v>68</v>
      </c>
      <c r="I94" s="6">
        <v>2257</v>
      </c>
      <c r="J94" s="6">
        <v>1850</v>
      </c>
      <c r="K94" s="5">
        <v>44500</v>
      </c>
      <c r="L94" s="5">
        <v>44604</v>
      </c>
      <c r="M94" s="4" t="s">
        <v>15</v>
      </c>
    </row>
    <row r="95" spans="1:13" x14ac:dyDescent="0.25">
      <c r="A95" s="4" t="s">
        <v>13</v>
      </c>
      <c r="B95" s="5">
        <v>44435</v>
      </c>
      <c r="C95" s="4" t="str">
        <f>"39"</f>
        <v>39</v>
      </c>
      <c r="D95" s="4">
        <v>5682886724</v>
      </c>
      <c r="E95" s="5">
        <v>44450</v>
      </c>
      <c r="F95" s="4">
        <v>1214</v>
      </c>
      <c r="G95" s="4">
        <v>3089</v>
      </c>
      <c r="H95" s="4" t="s">
        <v>68</v>
      </c>
      <c r="I95" s="6">
        <v>2318</v>
      </c>
      <c r="J95" s="6">
        <v>1900</v>
      </c>
      <c r="K95" s="5">
        <v>44500</v>
      </c>
      <c r="L95" s="5">
        <v>44604</v>
      </c>
      <c r="M95" s="4" t="s">
        <v>15</v>
      </c>
    </row>
    <row r="96" spans="1:13" x14ac:dyDescent="0.25">
      <c r="A96" s="4" t="s">
        <v>13</v>
      </c>
      <c r="B96" s="5">
        <v>44435</v>
      </c>
      <c r="C96" s="4" t="str">
        <f>"40"</f>
        <v>40</v>
      </c>
      <c r="D96" s="4">
        <v>5682886713</v>
      </c>
      <c r="E96" s="5">
        <v>44450</v>
      </c>
      <c r="F96" s="4">
        <v>1216</v>
      </c>
      <c r="G96" s="4">
        <v>3089</v>
      </c>
      <c r="H96" s="4" t="s">
        <v>68</v>
      </c>
      <c r="I96" s="6">
        <v>1220</v>
      </c>
      <c r="J96" s="6">
        <v>1000</v>
      </c>
      <c r="K96" s="5">
        <v>44500</v>
      </c>
      <c r="L96" s="5">
        <v>44604</v>
      </c>
      <c r="M96" s="4" t="s">
        <v>15</v>
      </c>
    </row>
    <row r="97" spans="1:13" x14ac:dyDescent="0.25">
      <c r="A97" s="4" t="s">
        <v>13</v>
      </c>
      <c r="B97" s="5">
        <v>44435</v>
      </c>
      <c r="C97" s="4" t="str">
        <f>"41"</f>
        <v>41</v>
      </c>
      <c r="D97" s="4">
        <v>5682886732</v>
      </c>
      <c r="E97" s="5">
        <v>44450</v>
      </c>
      <c r="F97" s="4">
        <v>1217</v>
      </c>
      <c r="G97" s="4">
        <v>3089</v>
      </c>
      <c r="H97" s="4" t="s">
        <v>68</v>
      </c>
      <c r="I97" s="6">
        <v>2745</v>
      </c>
      <c r="J97" s="6">
        <v>2250</v>
      </c>
      <c r="K97" s="5">
        <v>44500</v>
      </c>
      <c r="L97" s="5">
        <v>44604</v>
      </c>
      <c r="M97" s="4" t="s">
        <v>15</v>
      </c>
    </row>
    <row r="98" spans="1:13" x14ac:dyDescent="0.25">
      <c r="A98" s="4" t="s">
        <v>13</v>
      </c>
      <c r="B98" s="5">
        <v>44434</v>
      </c>
      <c r="C98" s="4" t="str">
        <f>"1016/X"</f>
        <v>1016/X</v>
      </c>
      <c r="D98" s="4">
        <v>5669175865</v>
      </c>
      <c r="E98" s="5">
        <v>44450</v>
      </c>
      <c r="F98" s="4">
        <v>1208</v>
      </c>
      <c r="G98" s="4">
        <v>2344</v>
      </c>
      <c r="H98" s="4" t="s">
        <v>57</v>
      </c>
      <c r="I98" s="6">
        <v>20283.64</v>
      </c>
      <c r="J98" s="6">
        <v>18439.669999999998</v>
      </c>
      <c r="K98" s="5">
        <v>44529</v>
      </c>
      <c r="L98" s="5">
        <v>44580</v>
      </c>
      <c r="M98" s="4" t="s">
        <v>17</v>
      </c>
    </row>
    <row r="99" spans="1:13" x14ac:dyDescent="0.25">
      <c r="A99" s="4" t="s">
        <v>13</v>
      </c>
      <c r="B99" s="5">
        <v>44434</v>
      </c>
      <c r="C99" s="4" t="str">
        <f>"1071/X"</f>
        <v>1071/X</v>
      </c>
      <c r="D99" s="4">
        <v>5669177572</v>
      </c>
      <c r="E99" s="5">
        <v>44450</v>
      </c>
      <c r="F99" s="4">
        <v>1209</v>
      </c>
      <c r="G99" s="4">
        <v>2344</v>
      </c>
      <c r="H99" s="4" t="s">
        <v>57</v>
      </c>
      <c r="I99" s="6">
        <v>14980.81</v>
      </c>
      <c r="J99" s="6">
        <v>13618.92</v>
      </c>
      <c r="K99" s="5">
        <v>44529</v>
      </c>
      <c r="L99" s="5">
        <v>44580</v>
      </c>
      <c r="M99" s="4" t="s">
        <v>17</v>
      </c>
    </row>
    <row r="100" spans="1:13" x14ac:dyDescent="0.25">
      <c r="A100" s="4" t="s">
        <v>13</v>
      </c>
      <c r="B100" s="5">
        <v>44433</v>
      </c>
      <c r="C100" s="4" t="str">
        <f>"0002100292"</f>
        <v>0002100292</v>
      </c>
      <c r="D100" s="4">
        <v>5667512119</v>
      </c>
      <c r="E100" s="5">
        <v>44481</v>
      </c>
      <c r="F100" s="4">
        <v>1349</v>
      </c>
      <c r="G100" s="4">
        <v>4765</v>
      </c>
      <c r="H100" s="4" t="s">
        <v>69</v>
      </c>
      <c r="I100" s="6">
        <v>2806</v>
      </c>
      <c r="J100" s="6">
        <v>2300</v>
      </c>
      <c r="K100" s="5">
        <v>44500</v>
      </c>
      <c r="L100" s="5">
        <v>44604</v>
      </c>
      <c r="M100" s="4" t="s">
        <v>19</v>
      </c>
    </row>
    <row r="101" spans="1:13" x14ac:dyDescent="0.25">
      <c r="A101" s="4" t="s">
        <v>13</v>
      </c>
      <c r="B101" s="5">
        <v>44426</v>
      </c>
      <c r="C101" s="4" t="str">
        <f>"33/80"</f>
        <v>33/80</v>
      </c>
      <c r="D101" s="4">
        <v>5637665819</v>
      </c>
      <c r="E101" s="5">
        <v>44455</v>
      </c>
      <c r="F101" s="4">
        <v>1227</v>
      </c>
      <c r="G101" s="4">
        <v>3155</v>
      </c>
      <c r="H101" s="4" t="s">
        <v>70</v>
      </c>
      <c r="I101" s="6">
        <v>3782</v>
      </c>
      <c r="J101" s="6">
        <v>3782</v>
      </c>
      <c r="K101" s="5">
        <v>44487</v>
      </c>
      <c r="L101" s="5">
        <v>44604</v>
      </c>
      <c r="M101" s="4" t="s">
        <v>15</v>
      </c>
    </row>
    <row r="102" spans="1:13" x14ac:dyDescent="0.25">
      <c r="A102" s="4" t="s">
        <v>13</v>
      </c>
      <c r="B102" s="5">
        <v>44425</v>
      </c>
      <c r="C102" s="4" t="str">
        <f>"53"</f>
        <v>53</v>
      </c>
      <c r="D102" s="4">
        <v>5636243076</v>
      </c>
      <c r="E102" s="5">
        <v>44455</v>
      </c>
      <c r="F102" s="4">
        <v>1226</v>
      </c>
      <c r="G102" s="4">
        <v>3155</v>
      </c>
      <c r="H102" s="4" t="s">
        <v>70</v>
      </c>
      <c r="I102" s="6">
        <v>2310</v>
      </c>
      <c r="J102" s="6">
        <v>2310</v>
      </c>
      <c r="K102" s="5">
        <v>44486</v>
      </c>
      <c r="L102" s="5">
        <v>44604</v>
      </c>
      <c r="M102" s="4" t="s">
        <v>15</v>
      </c>
    </row>
    <row r="103" spans="1:13" x14ac:dyDescent="0.25">
      <c r="A103" s="4" t="s">
        <v>13</v>
      </c>
      <c r="B103" s="5">
        <v>44425</v>
      </c>
      <c r="C103" s="4" t="str">
        <f>"55"</f>
        <v>55</v>
      </c>
      <c r="D103" s="4">
        <v>5636356326</v>
      </c>
      <c r="E103" s="5">
        <v>44455</v>
      </c>
      <c r="F103" s="4">
        <v>1225</v>
      </c>
      <c r="G103" s="4">
        <v>3155</v>
      </c>
      <c r="H103" s="4" t="s">
        <v>70</v>
      </c>
      <c r="I103" s="4">
        <v>753.5</v>
      </c>
      <c r="J103" s="4">
        <v>753.5</v>
      </c>
      <c r="K103" s="5">
        <v>44486</v>
      </c>
      <c r="L103" s="5">
        <v>44604</v>
      </c>
      <c r="M103" s="4" t="s">
        <v>15</v>
      </c>
    </row>
    <row r="104" spans="1:13" x14ac:dyDescent="0.25">
      <c r="A104" s="4" t="s">
        <v>13</v>
      </c>
      <c r="B104" s="5">
        <v>44408</v>
      </c>
      <c r="C104" s="4" t="str">
        <f>"7009728151"</f>
        <v>7009728151</v>
      </c>
      <c r="D104" s="4">
        <v>5558234301</v>
      </c>
      <c r="E104" s="5">
        <v>44433</v>
      </c>
      <c r="F104" s="4">
        <v>1163</v>
      </c>
      <c r="G104" s="4">
        <v>4742</v>
      </c>
      <c r="H104" s="4" t="s">
        <v>38</v>
      </c>
      <c r="I104" s="4">
        <v>908</v>
      </c>
      <c r="J104" s="4">
        <v>744.26</v>
      </c>
      <c r="K104" s="5">
        <v>44442</v>
      </c>
      <c r="L104" s="5">
        <v>44587</v>
      </c>
      <c r="M104" s="4" t="s">
        <v>17</v>
      </c>
    </row>
    <row r="105" spans="1:13" x14ac:dyDescent="0.25">
      <c r="A105" s="4" t="s">
        <v>13</v>
      </c>
      <c r="B105" s="5">
        <v>44407</v>
      </c>
      <c r="C105" s="4" t="str">
        <f>"71"</f>
        <v>71</v>
      </c>
      <c r="D105" s="4">
        <v>5572131185</v>
      </c>
      <c r="E105" s="5">
        <v>44433</v>
      </c>
      <c r="F105" s="4">
        <v>1164</v>
      </c>
      <c r="G105" s="4">
        <v>1418</v>
      </c>
      <c r="H105" s="4" t="s">
        <v>71</v>
      </c>
      <c r="I105" s="4">
        <v>523.38</v>
      </c>
      <c r="J105" s="4">
        <v>429</v>
      </c>
      <c r="K105" s="5">
        <v>44445</v>
      </c>
      <c r="L105" s="4"/>
      <c r="M105" s="4" t="s">
        <v>17</v>
      </c>
    </row>
    <row r="106" spans="1:13" x14ac:dyDescent="0.25">
      <c r="A106" s="4" t="s">
        <v>13</v>
      </c>
      <c r="B106" s="5">
        <v>44405</v>
      </c>
      <c r="C106" s="4" t="str">
        <f>"0000921900005175"</f>
        <v>0000921900005175</v>
      </c>
      <c r="D106" s="4">
        <v>5520263401</v>
      </c>
      <c r="E106" s="5">
        <v>44586</v>
      </c>
      <c r="F106" s="4">
        <v>275</v>
      </c>
      <c r="G106" s="4">
        <v>4915</v>
      </c>
      <c r="H106" s="4" t="s">
        <v>31</v>
      </c>
      <c r="I106" s="4">
        <v>122</v>
      </c>
      <c r="J106" s="4">
        <v>100</v>
      </c>
      <c r="K106" s="5">
        <v>44436</v>
      </c>
      <c r="L106" s="4"/>
      <c r="M106" s="4" t="s">
        <v>15</v>
      </c>
    </row>
    <row r="107" spans="1:13" x14ac:dyDescent="0.25">
      <c r="A107" s="4" t="s">
        <v>13</v>
      </c>
      <c r="B107" s="5">
        <v>44398</v>
      </c>
      <c r="C107" s="4" t="str">
        <f>"75"</f>
        <v>75</v>
      </c>
      <c r="D107" s="4">
        <v>5483640606</v>
      </c>
      <c r="E107" s="5">
        <v>44417</v>
      </c>
      <c r="F107" s="4">
        <v>1090</v>
      </c>
      <c r="G107" s="4">
        <v>4212</v>
      </c>
      <c r="H107" s="4" t="s">
        <v>72</v>
      </c>
      <c r="I107" s="6">
        <v>5734</v>
      </c>
      <c r="J107" s="6">
        <v>4700</v>
      </c>
      <c r="K107" s="5">
        <v>44429</v>
      </c>
      <c r="L107" s="5">
        <v>44651</v>
      </c>
      <c r="M107" s="4" t="s">
        <v>17</v>
      </c>
    </row>
    <row r="108" spans="1:13" x14ac:dyDescent="0.25">
      <c r="A108" s="4" t="s">
        <v>13</v>
      </c>
      <c r="B108" s="5">
        <v>44396</v>
      </c>
      <c r="C108" s="4" t="str">
        <f>"FATTPA 4_21"</f>
        <v>FATTPA 4_21</v>
      </c>
      <c r="D108" s="4">
        <v>5455593316</v>
      </c>
      <c r="E108" s="5">
        <v>44455</v>
      </c>
      <c r="F108" s="4">
        <v>1224</v>
      </c>
      <c r="G108" s="4">
        <v>4559</v>
      </c>
      <c r="H108" s="4" t="s">
        <v>73</v>
      </c>
      <c r="I108" s="6">
        <v>1921.5</v>
      </c>
      <c r="J108" s="6">
        <v>1621.5</v>
      </c>
      <c r="K108" s="5">
        <v>44458</v>
      </c>
      <c r="L108" s="5">
        <v>44615</v>
      </c>
      <c r="M108" s="4" t="s">
        <v>15</v>
      </c>
    </row>
    <row r="109" spans="1:13" x14ac:dyDescent="0.25">
      <c r="A109" s="4" t="s">
        <v>13</v>
      </c>
      <c r="B109" s="5">
        <v>44387</v>
      </c>
      <c r="C109" s="4" t="str">
        <f>"1671/E"</f>
        <v>1671/E</v>
      </c>
      <c r="D109" s="4">
        <v>5412840714</v>
      </c>
      <c r="E109" s="5">
        <v>44417</v>
      </c>
      <c r="F109" s="4">
        <v>1089</v>
      </c>
      <c r="G109" s="4">
        <v>1238</v>
      </c>
      <c r="H109" s="4" t="s">
        <v>74</v>
      </c>
      <c r="I109" s="4">
        <v>767.38</v>
      </c>
      <c r="J109" s="4">
        <v>629</v>
      </c>
      <c r="K109" s="5">
        <v>44469</v>
      </c>
      <c r="L109" s="5">
        <v>44631</v>
      </c>
      <c r="M109" s="4" t="s">
        <v>17</v>
      </c>
    </row>
    <row r="110" spans="1:13" x14ac:dyDescent="0.25">
      <c r="A110" s="4" t="s">
        <v>13</v>
      </c>
      <c r="B110" s="5">
        <v>44387</v>
      </c>
      <c r="C110" s="4" t="str">
        <f>"1672/E"</f>
        <v>1672/E</v>
      </c>
      <c r="D110" s="4">
        <v>5412840736</v>
      </c>
      <c r="E110" s="5">
        <v>44391</v>
      </c>
      <c r="F110" s="4">
        <v>922</v>
      </c>
      <c r="G110" s="4">
        <v>1238</v>
      </c>
      <c r="H110" s="4" t="s">
        <v>74</v>
      </c>
      <c r="I110" s="6">
        <v>3454.3</v>
      </c>
      <c r="J110" s="6">
        <v>2831.39</v>
      </c>
      <c r="K110" s="5">
        <v>44469</v>
      </c>
      <c r="L110" s="5">
        <v>44631</v>
      </c>
      <c r="M110" s="4" t="s">
        <v>17</v>
      </c>
    </row>
    <row r="111" spans="1:13" x14ac:dyDescent="0.25">
      <c r="A111" s="4" t="s">
        <v>50</v>
      </c>
      <c r="B111" s="5">
        <v>44387</v>
      </c>
      <c r="C111" s="4" t="str">
        <f>"1673/E"</f>
        <v>1673/E</v>
      </c>
      <c r="D111" s="4">
        <v>5412841858</v>
      </c>
      <c r="E111" s="5">
        <v>44391</v>
      </c>
      <c r="F111" s="4">
        <v>918</v>
      </c>
      <c r="G111" s="4">
        <v>1238</v>
      </c>
      <c r="H111" s="4" t="s">
        <v>74</v>
      </c>
      <c r="I111" s="4">
        <v>-108.78</v>
      </c>
      <c r="J111" s="4">
        <v>-89.16</v>
      </c>
      <c r="K111" s="5">
        <v>44469</v>
      </c>
      <c r="L111" s="5">
        <v>44631</v>
      </c>
      <c r="M111" s="4" t="s">
        <v>17</v>
      </c>
    </row>
    <row r="112" spans="1:13" x14ac:dyDescent="0.25">
      <c r="A112" s="4" t="s">
        <v>13</v>
      </c>
      <c r="B112" s="5">
        <v>44377</v>
      </c>
      <c r="C112" s="4" t="str">
        <f>"7009657357"</f>
        <v>7009657357</v>
      </c>
      <c r="D112" s="4">
        <v>5355070778</v>
      </c>
      <c r="E112" s="5">
        <v>44404</v>
      </c>
      <c r="F112" s="4">
        <v>992</v>
      </c>
      <c r="G112" s="4">
        <v>4742</v>
      </c>
      <c r="H112" s="4" t="s">
        <v>38</v>
      </c>
      <c r="I112" s="4">
        <v>547</v>
      </c>
      <c r="J112" s="4">
        <v>448.36</v>
      </c>
      <c r="K112" s="5">
        <v>44411</v>
      </c>
      <c r="L112" s="5">
        <v>44587</v>
      </c>
      <c r="M112" s="4" t="s">
        <v>17</v>
      </c>
    </row>
    <row r="113" spans="1:13" x14ac:dyDescent="0.25">
      <c r="A113" s="4" t="s">
        <v>13</v>
      </c>
      <c r="B113" s="5">
        <v>44370</v>
      </c>
      <c r="C113" s="4" t="str">
        <f>"33 60"</f>
        <v>33 60</v>
      </c>
      <c r="D113" s="4">
        <v>5295248686</v>
      </c>
      <c r="E113" s="5">
        <v>44389</v>
      </c>
      <c r="F113" s="4">
        <v>906</v>
      </c>
      <c r="G113" s="4">
        <v>2980</v>
      </c>
      <c r="H113" s="4" t="s">
        <v>61</v>
      </c>
      <c r="I113" s="4">
        <v>465.33</v>
      </c>
      <c r="J113" s="4">
        <v>381.42</v>
      </c>
      <c r="K113" s="5">
        <v>44401</v>
      </c>
      <c r="L113" s="5">
        <v>44601</v>
      </c>
      <c r="M113" s="4" t="s">
        <v>17</v>
      </c>
    </row>
    <row r="114" spans="1:13" x14ac:dyDescent="0.25">
      <c r="A114" s="4" t="s">
        <v>13</v>
      </c>
      <c r="B114" s="5">
        <v>44370</v>
      </c>
      <c r="C114" s="4" t="str">
        <f>"33 61"</f>
        <v>33 61</v>
      </c>
      <c r="D114" s="4">
        <v>5295248671</v>
      </c>
      <c r="E114" s="5">
        <v>44389</v>
      </c>
      <c r="F114" s="4">
        <v>909</v>
      </c>
      <c r="G114" s="4">
        <v>2980</v>
      </c>
      <c r="H114" s="4" t="s">
        <v>61</v>
      </c>
      <c r="I114" s="4">
        <v>213.5</v>
      </c>
      <c r="J114" s="4">
        <v>175</v>
      </c>
      <c r="K114" s="5">
        <v>44401</v>
      </c>
      <c r="L114" s="5">
        <v>44601</v>
      </c>
      <c r="M114" s="4" t="s">
        <v>17</v>
      </c>
    </row>
    <row r="115" spans="1:13" x14ac:dyDescent="0.25">
      <c r="A115" s="4" t="s">
        <v>13</v>
      </c>
      <c r="B115" s="5">
        <v>44370</v>
      </c>
      <c r="C115" s="4" t="str">
        <f>"33 62"</f>
        <v>33 62</v>
      </c>
      <c r="D115" s="4">
        <v>5295248667</v>
      </c>
      <c r="E115" s="5">
        <v>44389</v>
      </c>
      <c r="F115" s="4">
        <v>910</v>
      </c>
      <c r="G115" s="4">
        <v>2980</v>
      </c>
      <c r="H115" s="4" t="s">
        <v>61</v>
      </c>
      <c r="I115" s="4">
        <v>465.33</v>
      </c>
      <c r="J115" s="4">
        <v>381.42</v>
      </c>
      <c r="K115" s="5">
        <v>44401</v>
      </c>
      <c r="L115" s="5">
        <v>44601</v>
      </c>
      <c r="M115" s="4" t="s">
        <v>17</v>
      </c>
    </row>
    <row r="116" spans="1:13" x14ac:dyDescent="0.25">
      <c r="A116" s="4" t="s">
        <v>13</v>
      </c>
      <c r="B116" s="5">
        <v>44370</v>
      </c>
      <c r="C116" s="4" t="str">
        <f>"33 63"</f>
        <v>33 63</v>
      </c>
      <c r="D116" s="4">
        <v>5295248658</v>
      </c>
      <c r="E116" s="5">
        <v>44389</v>
      </c>
      <c r="F116" s="4">
        <v>907</v>
      </c>
      <c r="G116" s="4">
        <v>2980</v>
      </c>
      <c r="H116" s="4" t="s">
        <v>61</v>
      </c>
      <c r="I116" s="4">
        <v>465.33</v>
      </c>
      <c r="J116" s="4">
        <v>381.42</v>
      </c>
      <c r="K116" s="5">
        <v>44401</v>
      </c>
      <c r="L116" s="5">
        <v>44601</v>
      </c>
      <c r="M116" s="4" t="s">
        <v>17</v>
      </c>
    </row>
    <row r="117" spans="1:13" x14ac:dyDescent="0.25">
      <c r="A117" s="4" t="s">
        <v>13</v>
      </c>
      <c r="B117" s="5">
        <v>44370</v>
      </c>
      <c r="C117" s="4" t="str">
        <f>"33 64"</f>
        <v>33 64</v>
      </c>
      <c r="D117" s="4">
        <v>5295248645</v>
      </c>
      <c r="E117" s="5">
        <v>44389</v>
      </c>
      <c r="F117" s="4">
        <v>905</v>
      </c>
      <c r="G117" s="4">
        <v>2980</v>
      </c>
      <c r="H117" s="4" t="s">
        <v>61</v>
      </c>
      <c r="I117" s="4">
        <v>30.5</v>
      </c>
      <c r="J117" s="4">
        <v>25</v>
      </c>
      <c r="K117" s="5">
        <v>44401</v>
      </c>
      <c r="L117" s="5">
        <v>44601</v>
      </c>
      <c r="M117" s="4" t="s">
        <v>17</v>
      </c>
    </row>
    <row r="118" spans="1:13" x14ac:dyDescent="0.25">
      <c r="A118" s="4" t="s">
        <v>13</v>
      </c>
      <c r="B118" s="5">
        <v>44370</v>
      </c>
      <c r="C118" s="4" t="str">
        <f>"33 65"</f>
        <v>33 65</v>
      </c>
      <c r="D118" s="4">
        <v>5295248647</v>
      </c>
      <c r="E118" s="5">
        <v>44389</v>
      </c>
      <c r="F118" s="4">
        <v>908</v>
      </c>
      <c r="G118" s="4">
        <v>2980</v>
      </c>
      <c r="H118" s="4" t="s">
        <v>61</v>
      </c>
      <c r="I118" s="4">
        <v>274.5</v>
      </c>
      <c r="J118" s="4">
        <v>225</v>
      </c>
      <c r="K118" s="5">
        <v>44401</v>
      </c>
      <c r="L118" s="5">
        <v>44601</v>
      </c>
      <c r="M118" s="4" t="s">
        <v>17</v>
      </c>
    </row>
    <row r="119" spans="1:13" x14ac:dyDescent="0.25">
      <c r="A119" s="4" t="s">
        <v>13</v>
      </c>
      <c r="B119" s="5">
        <v>44365</v>
      </c>
      <c r="C119" s="4" t="str">
        <f>"1538/E"</f>
        <v>1538/E</v>
      </c>
      <c r="D119" s="4">
        <v>5270020874</v>
      </c>
      <c r="E119" s="5">
        <v>44389</v>
      </c>
      <c r="F119" s="4">
        <v>904</v>
      </c>
      <c r="G119" s="4">
        <v>1238</v>
      </c>
      <c r="H119" s="4" t="s">
        <v>74</v>
      </c>
      <c r="I119" s="6">
        <v>8735.11</v>
      </c>
      <c r="J119" s="6">
        <v>7159.93</v>
      </c>
      <c r="K119" s="5">
        <v>44439</v>
      </c>
      <c r="L119" s="5">
        <v>44631</v>
      </c>
      <c r="M119" s="4" t="s">
        <v>17</v>
      </c>
    </row>
    <row r="120" spans="1:13" x14ac:dyDescent="0.25">
      <c r="A120" s="4" t="s">
        <v>13</v>
      </c>
      <c r="B120" s="5">
        <v>44363</v>
      </c>
      <c r="C120" s="4" t="str">
        <f>"1PA"</f>
        <v>1PA</v>
      </c>
      <c r="D120" s="4">
        <v>5285077806</v>
      </c>
      <c r="E120" s="5">
        <v>44389</v>
      </c>
      <c r="F120" s="4">
        <v>889</v>
      </c>
      <c r="G120" s="4">
        <v>4618</v>
      </c>
      <c r="H120" s="4" t="s">
        <v>75</v>
      </c>
      <c r="I120" s="4">
        <v>464.12</v>
      </c>
      <c r="J120" s="4">
        <v>422.43</v>
      </c>
      <c r="K120" s="5">
        <v>44399</v>
      </c>
      <c r="L120" s="5">
        <v>44694</v>
      </c>
      <c r="M120" s="4" t="s">
        <v>19</v>
      </c>
    </row>
    <row r="121" spans="1:13" x14ac:dyDescent="0.25">
      <c r="A121" s="4" t="s">
        <v>50</v>
      </c>
      <c r="B121" s="5">
        <v>44363</v>
      </c>
      <c r="C121" s="4" t="str">
        <f>"43692099000058A"</f>
        <v>43692099000058A</v>
      </c>
      <c r="D121" s="4">
        <v>5263475598</v>
      </c>
      <c r="E121" s="5">
        <v>44586</v>
      </c>
      <c r="F121" s="4">
        <v>244</v>
      </c>
      <c r="G121" s="4">
        <v>4915</v>
      </c>
      <c r="H121" s="4" t="s">
        <v>31</v>
      </c>
      <c r="I121" s="4">
        <v>-518.44000000000005</v>
      </c>
      <c r="J121" s="4">
        <v>-424.95</v>
      </c>
      <c r="K121" s="5">
        <v>44394</v>
      </c>
      <c r="L121" s="4"/>
      <c r="M121" s="4" t="s">
        <v>19</v>
      </c>
    </row>
    <row r="122" spans="1:13" x14ac:dyDescent="0.25">
      <c r="A122" s="4" t="s">
        <v>13</v>
      </c>
      <c r="B122" s="5">
        <v>44347</v>
      </c>
      <c r="C122" s="4" t="str">
        <f>"7009586911"</f>
        <v>7009586911</v>
      </c>
      <c r="D122" s="4">
        <v>5169645111</v>
      </c>
      <c r="E122" s="5">
        <v>44389</v>
      </c>
      <c r="F122" s="4">
        <v>898</v>
      </c>
      <c r="G122" s="4">
        <v>4742</v>
      </c>
      <c r="H122" s="4" t="s">
        <v>38</v>
      </c>
      <c r="I122" s="4">
        <v>314.99</v>
      </c>
      <c r="J122" s="4">
        <v>258.19</v>
      </c>
      <c r="K122" s="5">
        <v>44380</v>
      </c>
      <c r="L122" s="5">
        <v>44587</v>
      </c>
      <c r="M122" s="4" t="s">
        <v>17</v>
      </c>
    </row>
    <row r="123" spans="1:13" x14ac:dyDescent="0.25">
      <c r="A123" s="4" t="s">
        <v>50</v>
      </c>
      <c r="B123" s="5">
        <v>44328</v>
      </c>
      <c r="C123" s="4" t="str">
        <f>"3"</f>
        <v>3</v>
      </c>
      <c r="D123" s="4">
        <v>5057590184</v>
      </c>
      <c r="E123" s="5">
        <v>44354</v>
      </c>
      <c r="F123" s="4">
        <v>775</v>
      </c>
      <c r="G123" s="4">
        <v>3603</v>
      </c>
      <c r="H123" s="4" t="s">
        <v>76</v>
      </c>
      <c r="I123" s="6">
        <v>-1281</v>
      </c>
      <c r="J123" s="6">
        <v>-1281</v>
      </c>
      <c r="K123" s="5">
        <v>44360</v>
      </c>
      <c r="L123" s="5">
        <v>44599</v>
      </c>
      <c r="M123" s="4" t="s">
        <v>19</v>
      </c>
    </row>
    <row r="124" spans="1:13" x14ac:dyDescent="0.25">
      <c r="A124" s="4" t="s">
        <v>13</v>
      </c>
      <c r="B124" s="5">
        <v>44327</v>
      </c>
      <c r="C124" s="4" t="str">
        <f>"2021015855"</f>
        <v>2021015855</v>
      </c>
      <c r="D124" s="4">
        <v>5043759401</v>
      </c>
      <c r="E124" s="5">
        <v>44586</v>
      </c>
      <c r="F124" s="4">
        <v>276</v>
      </c>
      <c r="G124" s="4">
        <v>3898</v>
      </c>
      <c r="H124" s="4" t="s">
        <v>77</v>
      </c>
      <c r="I124" s="4">
        <v>36.6</v>
      </c>
      <c r="J124" s="4">
        <v>30</v>
      </c>
      <c r="K124" s="5">
        <v>44357</v>
      </c>
      <c r="L124" s="4"/>
      <c r="M124" s="4" t="s">
        <v>15</v>
      </c>
    </row>
    <row r="125" spans="1:13" x14ac:dyDescent="0.25">
      <c r="A125" s="4" t="s">
        <v>13</v>
      </c>
      <c r="B125" s="5">
        <v>44327</v>
      </c>
      <c r="C125" s="4" t="str">
        <f>"2021015856"</f>
        <v>2021015856</v>
      </c>
      <c r="D125" s="4">
        <v>5043812748</v>
      </c>
      <c r="E125" s="5">
        <v>44586</v>
      </c>
      <c r="F125" s="4">
        <v>277</v>
      </c>
      <c r="G125" s="4">
        <v>3898</v>
      </c>
      <c r="H125" s="4" t="s">
        <v>77</v>
      </c>
      <c r="I125" s="4">
        <v>36.6</v>
      </c>
      <c r="J125" s="4">
        <v>30</v>
      </c>
      <c r="K125" s="5">
        <v>44358</v>
      </c>
      <c r="L125" s="4"/>
      <c r="M125" s="4" t="s">
        <v>15</v>
      </c>
    </row>
    <row r="126" spans="1:13" x14ac:dyDescent="0.25">
      <c r="A126" s="4" t="s">
        <v>13</v>
      </c>
      <c r="B126" s="5">
        <v>44324</v>
      </c>
      <c r="C126" s="4" t="str">
        <f>"2"</f>
        <v>2</v>
      </c>
      <c r="D126" s="4">
        <v>5041899304</v>
      </c>
      <c r="E126" s="5">
        <v>44354</v>
      </c>
      <c r="F126" s="4">
        <v>774</v>
      </c>
      <c r="G126" s="4">
        <v>3603</v>
      </c>
      <c r="H126" s="4" t="s">
        <v>76</v>
      </c>
      <c r="I126" s="6">
        <v>1281</v>
      </c>
      <c r="J126" s="6">
        <v>1281</v>
      </c>
      <c r="K126" s="5">
        <v>44357</v>
      </c>
      <c r="L126" s="5">
        <v>44599</v>
      </c>
      <c r="M126" s="4" t="s">
        <v>19</v>
      </c>
    </row>
    <row r="127" spans="1:13" x14ac:dyDescent="0.25">
      <c r="A127" s="4" t="s">
        <v>13</v>
      </c>
      <c r="B127" s="5">
        <v>44316</v>
      </c>
      <c r="C127" s="4" t="str">
        <f>"7009516881"</f>
        <v>7009516881</v>
      </c>
      <c r="D127" s="4">
        <v>4982209998</v>
      </c>
      <c r="E127" s="5">
        <v>44326</v>
      </c>
      <c r="F127" s="4">
        <v>663</v>
      </c>
      <c r="G127" s="4">
        <v>4742</v>
      </c>
      <c r="H127" s="4" t="s">
        <v>38</v>
      </c>
      <c r="I127" s="4">
        <v>778.99</v>
      </c>
      <c r="J127" s="4">
        <v>638.52</v>
      </c>
      <c r="K127" s="5">
        <v>44349</v>
      </c>
      <c r="L127" s="5">
        <v>44587</v>
      </c>
      <c r="M127" s="4" t="s">
        <v>17</v>
      </c>
    </row>
    <row r="128" spans="1:13" x14ac:dyDescent="0.25">
      <c r="A128" s="4" t="s">
        <v>13</v>
      </c>
      <c r="B128" s="5">
        <v>44305</v>
      </c>
      <c r="C128" s="4" t="str">
        <f>"03890/S"</f>
        <v>03890/S</v>
      </c>
      <c r="D128" s="4">
        <v>4917768950</v>
      </c>
      <c r="E128" s="5">
        <v>44323</v>
      </c>
      <c r="F128" s="4">
        <v>641</v>
      </c>
      <c r="G128" s="4">
        <v>373</v>
      </c>
      <c r="H128" s="4" t="s">
        <v>54</v>
      </c>
      <c r="I128" s="4">
        <v>39.520000000000003</v>
      </c>
      <c r="J128" s="4">
        <v>38</v>
      </c>
      <c r="K128" s="5">
        <v>44336</v>
      </c>
      <c r="L128" s="5">
        <v>44604</v>
      </c>
      <c r="M128" s="4" t="s">
        <v>19</v>
      </c>
    </row>
    <row r="129" spans="1:13" x14ac:dyDescent="0.25">
      <c r="A129" s="4" t="s">
        <v>13</v>
      </c>
      <c r="B129" s="5">
        <v>44301</v>
      </c>
      <c r="C129" s="4" t="str">
        <f>"0002100072"</f>
        <v>0002100072</v>
      </c>
      <c r="D129" s="4">
        <v>4895298147</v>
      </c>
      <c r="E129" s="5">
        <v>44405</v>
      </c>
      <c r="F129" s="4">
        <v>998</v>
      </c>
      <c r="G129" s="4">
        <v>4765</v>
      </c>
      <c r="H129" s="4" t="s">
        <v>69</v>
      </c>
      <c r="I129" s="6">
        <v>1464</v>
      </c>
      <c r="J129" s="6">
        <v>1200</v>
      </c>
      <c r="K129" s="5">
        <v>44377</v>
      </c>
      <c r="L129" s="5">
        <v>44688</v>
      </c>
      <c r="M129" s="4" t="s">
        <v>19</v>
      </c>
    </row>
    <row r="130" spans="1:13" x14ac:dyDescent="0.25">
      <c r="A130" s="4" t="s">
        <v>13</v>
      </c>
      <c r="B130" s="5">
        <v>44286</v>
      </c>
      <c r="C130" s="4" t="str">
        <f>"7009448437"</f>
        <v>7009448437</v>
      </c>
      <c r="D130" s="4">
        <v>4845467008</v>
      </c>
      <c r="E130" s="5">
        <v>44323</v>
      </c>
      <c r="F130" s="4">
        <v>637</v>
      </c>
      <c r="G130" s="4">
        <v>4742</v>
      </c>
      <c r="H130" s="4" t="s">
        <v>38</v>
      </c>
      <c r="I130" s="4">
        <v>474.99</v>
      </c>
      <c r="J130" s="4">
        <v>389.34</v>
      </c>
      <c r="K130" s="5">
        <v>44325</v>
      </c>
      <c r="L130" s="5">
        <v>44587</v>
      </c>
      <c r="M130" s="4" t="s">
        <v>17</v>
      </c>
    </row>
    <row r="131" spans="1:13" x14ac:dyDescent="0.25">
      <c r="A131" s="4" t="s">
        <v>13</v>
      </c>
      <c r="B131" s="5">
        <v>44255</v>
      </c>
      <c r="C131" s="4" t="str">
        <f>"7009379900"</f>
        <v>7009379900</v>
      </c>
      <c r="D131" s="4">
        <v>4650593653</v>
      </c>
      <c r="E131" s="5">
        <v>44300</v>
      </c>
      <c r="F131" s="4">
        <v>539</v>
      </c>
      <c r="G131" s="4">
        <v>4742</v>
      </c>
      <c r="H131" s="4" t="s">
        <v>38</v>
      </c>
      <c r="I131" s="4">
        <v>452.5</v>
      </c>
      <c r="J131" s="4">
        <v>370.9</v>
      </c>
      <c r="K131" s="5">
        <v>44289</v>
      </c>
      <c r="L131" s="5">
        <v>44587</v>
      </c>
      <c r="M131" s="4" t="s">
        <v>17</v>
      </c>
    </row>
    <row r="132" spans="1:13" x14ac:dyDescent="0.25">
      <c r="A132" s="4" t="s">
        <v>13</v>
      </c>
      <c r="B132" s="5">
        <v>44251</v>
      </c>
      <c r="C132" s="4" t="str">
        <f>"2021010253"</f>
        <v>2021010253</v>
      </c>
      <c r="D132" s="4">
        <v>4599526728</v>
      </c>
      <c r="E132" s="5">
        <v>44585</v>
      </c>
      <c r="F132" s="4">
        <v>177</v>
      </c>
      <c r="G132" s="4">
        <v>3898</v>
      </c>
      <c r="H132" s="4" t="s">
        <v>77</v>
      </c>
      <c r="I132" s="4">
        <v>15.62</v>
      </c>
      <c r="J132" s="4">
        <v>12.8</v>
      </c>
      <c r="K132" s="5">
        <v>44281</v>
      </c>
      <c r="L132" s="4"/>
      <c r="M132" s="4" t="s">
        <v>46</v>
      </c>
    </row>
    <row r="133" spans="1:13" x14ac:dyDescent="0.25">
      <c r="A133" s="4" t="s">
        <v>13</v>
      </c>
      <c r="B133" s="5">
        <v>44251</v>
      </c>
      <c r="C133" s="4" t="str">
        <f>"2021011112"</f>
        <v>2021011112</v>
      </c>
      <c r="D133" s="4">
        <v>4599734985</v>
      </c>
      <c r="E133" s="5">
        <v>44585</v>
      </c>
      <c r="F133" s="4">
        <v>174</v>
      </c>
      <c r="G133" s="4">
        <v>3898</v>
      </c>
      <c r="H133" s="4" t="s">
        <v>77</v>
      </c>
      <c r="I133" s="4">
        <v>8.0500000000000007</v>
      </c>
      <c r="J133" s="4">
        <v>6.6</v>
      </c>
      <c r="K133" s="5">
        <v>44286</v>
      </c>
      <c r="L133" s="4"/>
      <c r="M133" s="4" t="s">
        <v>46</v>
      </c>
    </row>
    <row r="134" spans="1:13" x14ac:dyDescent="0.25">
      <c r="A134" s="4" t="s">
        <v>13</v>
      </c>
      <c r="B134" s="5">
        <v>44251</v>
      </c>
      <c r="C134" s="4" t="str">
        <f>"2021011113"</f>
        <v>2021011113</v>
      </c>
      <c r="D134" s="4">
        <v>4599526432</v>
      </c>
      <c r="E134" s="5">
        <v>44585</v>
      </c>
      <c r="F134" s="4">
        <v>178</v>
      </c>
      <c r="G134" s="4">
        <v>3898</v>
      </c>
      <c r="H134" s="4" t="s">
        <v>77</v>
      </c>
      <c r="I134" s="4">
        <v>8.0500000000000007</v>
      </c>
      <c r="J134" s="4">
        <v>6.6</v>
      </c>
      <c r="K134" s="5">
        <v>44281</v>
      </c>
      <c r="L134" s="4"/>
      <c r="M134" s="4" t="s">
        <v>46</v>
      </c>
    </row>
    <row r="135" spans="1:13" x14ac:dyDescent="0.25">
      <c r="A135" s="4" t="s">
        <v>13</v>
      </c>
      <c r="B135" s="5">
        <v>44227</v>
      </c>
      <c r="C135" s="4" t="str">
        <f>"7009311216"</f>
        <v>7009311216</v>
      </c>
      <c r="D135" s="4">
        <v>4480065494</v>
      </c>
      <c r="E135" s="5">
        <v>44300</v>
      </c>
      <c r="F135" s="4">
        <v>530</v>
      </c>
      <c r="G135" s="4">
        <v>4742</v>
      </c>
      <c r="H135" s="4" t="s">
        <v>38</v>
      </c>
      <c r="I135" s="4">
        <v>294</v>
      </c>
      <c r="J135" s="4">
        <v>240.98</v>
      </c>
      <c r="K135" s="5">
        <v>44260</v>
      </c>
      <c r="L135" s="5">
        <v>44587</v>
      </c>
      <c r="M135" s="4" t="s">
        <v>17</v>
      </c>
    </row>
    <row r="136" spans="1:13" x14ac:dyDescent="0.25">
      <c r="A136" s="4" t="s">
        <v>13</v>
      </c>
      <c r="B136" s="5">
        <v>44221</v>
      </c>
      <c r="C136" s="4" t="str">
        <f>"1"</f>
        <v>1</v>
      </c>
      <c r="D136" s="4">
        <v>4476989470</v>
      </c>
      <c r="E136" s="5">
        <v>44300</v>
      </c>
      <c r="F136" s="4">
        <v>529</v>
      </c>
      <c r="G136" s="4">
        <v>2086</v>
      </c>
      <c r="H136" s="4"/>
      <c r="I136" s="4">
        <v>50</v>
      </c>
      <c r="J136" s="4">
        <v>50</v>
      </c>
      <c r="K136" s="5">
        <v>44260</v>
      </c>
      <c r="L136" s="5">
        <v>44655</v>
      </c>
      <c r="M136" s="4" t="s">
        <v>17</v>
      </c>
    </row>
    <row r="137" spans="1:13" x14ac:dyDescent="0.25">
      <c r="A137" s="4" t="s">
        <v>13</v>
      </c>
      <c r="B137" s="5">
        <v>44217</v>
      </c>
      <c r="C137" s="4" t="str">
        <f>"2021003828"</f>
        <v>2021003828</v>
      </c>
      <c r="D137" s="4">
        <v>4414974030</v>
      </c>
      <c r="E137" s="5">
        <v>44585</v>
      </c>
      <c r="F137" s="4">
        <v>176</v>
      </c>
      <c r="G137" s="4">
        <v>3898</v>
      </c>
      <c r="H137" s="4" t="s">
        <v>77</v>
      </c>
      <c r="I137" s="4">
        <v>19.03</v>
      </c>
      <c r="J137" s="4">
        <v>15.6</v>
      </c>
      <c r="K137" s="5">
        <v>44248</v>
      </c>
      <c r="L137" s="4"/>
      <c r="M137" s="4" t="s">
        <v>46</v>
      </c>
    </row>
    <row r="138" spans="1:13" x14ac:dyDescent="0.25">
      <c r="A138" s="4" t="s">
        <v>13</v>
      </c>
      <c r="B138" s="5">
        <v>44217</v>
      </c>
      <c r="C138" s="4" t="str">
        <f>"2021003829"</f>
        <v>2021003829</v>
      </c>
      <c r="D138" s="4">
        <v>4415417421</v>
      </c>
      <c r="E138" s="5">
        <v>44585</v>
      </c>
      <c r="F138" s="4">
        <v>175</v>
      </c>
      <c r="G138" s="4">
        <v>3898</v>
      </c>
      <c r="H138" s="4" t="s">
        <v>77</v>
      </c>
      <c r="I138" s="4">
        <v>12.08</v>
      </c>
      <c r="J138" s="4">
        <v>9.9</v>
      </c>
      <c r="K138" s="5">
        <v>44248</v>
      </c>
      <c r="L138" s="4"/>
      <c r="M138" s="4" t="s">
        <v>46</v>
      </c>
    </row>
    <row r="139" spans="1:13" x14ac:dyDescent="0.25">
      <c r="A139" s="4" t="s">
        <v>13</v>
      </c>
      <c r="B139" s="5">
        <v>44176</v>
      </c>
      <c r="C139" s="4" t="str">
        <f>"3185/PA"</f>
        <v>3185/PA</v>
      </c>
      <c r="D139" s="4">
        <v>4193395293</v>
      </c>
      <c r="E139" s="5">
        <v>44196</v>
      </c>
      <c r="F139" s="4">
        <v>1506</v>
      </c>
      <c r="G139" s="4">
        <v>4509</v>
      </c>
      <c r="H139" s="4" t="s">
        <v>64</v>
      </c>
      <c r="I139" s="4">
        <v>793.44</v>
      </c>
      <c r="J139" s="4">
        <v>650.36</v>
      </c>
      <c r="K139" s="5">
        <v>44238</v>
      </c>
      <c r="L139" s="5">
        <v>44905</v>
      </c>
      <c r="M139" s="4" t="s">
        <v>46</v>
      </c>
    </row>
    <row r="140" spans="1:13" x14ac:dyDescent="0.25">
      <c r="A140" s="4" t="s">
        <v>13</v>
      </c>
      <c r="B140" s="5">
        <v>44175</v>
      </c>
      <c r="C140" s="4" t="str">
        <f>"436920450202415"</f>
        <v>436920450202415</v>
      </c>
      <c r="D140" s="4">
        <v>4182706456</v>
      </c>
      <c r="E140" s="5">
        <v>44406</v>
      </c>
      <c r="F140" s="4">
        <v>1001</v>
      </c>
      <c r="G140" s="4">
        <v>4179</v>
      </c>
      <c r="H140" s="4" t="s">
        <v>78</v>
      </c>
      <c r="I140" s="4">
        <v>50.76</v>
      </c>
      <c r="J140" s="4">
        <v>41.61</v>
      </c>
      <c r="K140" s="5">
        <v>44205</v>
      </c>
      <c r="L140" s="4"/>
      <c r="M140" s="4" t="s">
        <v>19</v>
      </c>
    </row>
    <row r="141" spans="1:13" x14ac:dyDescent="0.25">
      <c r="A141" s="4" t="s">
        <v>13</v>
      </c>
      <c r="B141" s="5">
        <v>44163</v>
      </c>
      <c r="C141" s="4" t="str">
        <f>"17785/S"</f>
        <v>17785/S</v>
      </c>
      <c r="D141" s="4">
        <v>4112237757</v>
      </c>
      <c r="E141" s="5">
        <v>44214</v>
      </c>
      <c r="F141" s="4">
        <v>77</v>
      </c>
      <c r="G141" s="4">
        <v>373</v>
      </c>
      <c r="H141" s="4" t="s">
        <v>54</v>
      </c>
      <c r="I141" s="4">
        <v>150</v>
      </c>
      <c r="J141" s="4">
        <v>150</v>
      </c>
      <c r="K141" s="5">
        <v>44195</v>
      </c>
      <c r="L141" s="4"/>
      <c r="M141" s="4" t="s">
        <v>19</v>
      </c>
    </row>
    <row r="142" spans="1:13" x14ac:dyDescent="0.25">
      <c r="A142" s="4" t="s">
        <v>13</v>
      </c>
      <c r="B142" s="5">
        <v>44158</v>
      </c>
      <c r="C142" s="4" t="str">
        <f>"17528/S"</f>
        <v>17528/S</v>
      </c>
      <c r="D142" s="4">
        <v>4075203061</v>
      </c>
      <c r="E142" s="5">
        <v>44214</v>
      </c>
      <c r="F142" s="4">
        <v>76</v>
      </c>
      <c r="G142" s="4">
        <v>373</v>
      </c>
      <c r="H142" s="4" t="s">
        <v>54</v>
      </c>
      <c r="I142" s="4">
        <v>350</v>
      </c>
      <c r="J142" s="4">
        <v>350</v>
      </c>
      <c r="K142" s="5">
        <v>44188</v>
      </c>
      <c r="L142" s="4"/>
      <c r="M142" s="4" t="s">
        <v>19</v>
      </c>
    </row>
    <row r="143" spans="1:13" x14ac:dyDescent="0.25">
      <c r="A143" s="4" t="s">
        <v>13</v>
      </c>
      <c r="B143" s="5">
        <v>44123</v>
      </c>
      <c r="C143" s="4" t="str">
        <f>"0000920900027440"</f>
        <v>0000920900027440</v>
      </c>
      <c r="D143" s="4">
        <v>3875323983</v>
      </c>
      <c r="E143" s="5">
        <v>44217</v>
      </c>
      <c r="F143" s="4">
        <v>103</v>
      </c>
      <c r="G143" s="4">
        <v>2561</v>
      </c>
      <c r="H143" s="4" t="s">
        <v>79</v>
      </c>
      <c r="I143" s="4">
        <v>24.3</v>
      </c>
      <c r="J143" s="4">
        <v>19.920000000000002</v>
      </c>
      <c r="K143" s="5">
        <v>44144</v>
      </c>
      <c r="L143" s="4"/>
      <c r="M143" s="4" t="s">
        <v>19</v>
      </c>
    </row>
    <row r="144" spans="1:13" x14ac:dyDescent="0.25">
      <c r="A144" s="4" t="s">
        <v>13</v>
      </c>
      <c r="B144" s="5">
        <v>44102</v>
      </c>
      <c r="C144" s="4" t="str">
        <f>"2447/PA"</f>
        <v>2447/PA</v>
      </c>
      <c r="D144" s="4">
        <v>3731005708</v>
      </c>
      <c r="E144" s="5">
        <v>44196</v>
      </c>
      <c r="F144" s="4">
        <v>1505</v>
      </c>
      <c r="G144" s="4">
        <v>4509</v>
      </c>
      <c r="H144" s="4" t="s">
        <v>64</v>
      </c>
      <c r="I144" s="4">
        <v>793.44</v>
      </c>
      <c r="J144" s="4">
        <v>650.36</v>
      </c>
      <c r="K144" s="5">
        <v>44163</v>
      </c>
      <c r="L144" s="5">
        <v>44905</v>
      </c>
      <c r="M144" s="4" t="s">
        <v>46</v>
      </c>
    </row>
    <row r="145" spans="1:13" x14ac:dyDescent="0.25">
      <c r="A145" s="4" t="s">
        <v>13</v>
      </c>
      <c r="B145" s="5">
        <v>43999</v>
      </c>
      <c r="C145" s="4" t="str">
        <f>"10592/16/10"</f>
        <v>10592/16/10</v>
      </c>
      <c r="D145" s="4">
        <v>3146274624</v>
      </c>
      <c r="E145" s="5">
        <v>44074</v>
      </c>
      <c r="F145" s="4">
        <v>981</v>
      </c>
      <c r="G145" s="4">
        <v>3031</v>
      </c>
      <c r="H145" s="4" t="s">
        <v>45</v>
      </c>
      <c r="I145" s="4">
        <v>30</v>
      </c>
      <c r="J145" s="4">
        <v>30</v>
      </c>
      <c r="K145" s="5">
        <v>44029</v>
      </c>
      <c r="L145" s="4"/>
      <c r="M145" s="4" t="s">
        <v>17</v>
      </c>
    </row>
    <row r="146" spans="1:13" x14ac:dyDescent="0.25">
      <c r="A146" s="4" t="s">
        <v>50</v>
      </c>
      <c r="B146" s="5">
        <v>43985</v>
      </c>
      <c r="C146" s="4" t="str">
        <f>"208000384"</f>
        <v>208000384</v>
      </c>
      <c r="D146" s="4">
        <v>3058645668</v>
      </c>
      <c r="E146" s="5">
        <v>44025</v>
      </c>
      <c r="F146" s="4">
        <v>752</v>
      </c>
      <c r="G146" s="4">
        <v>4128</v>
      </c>
      <c r="H146" s="4" t="s">
        <v>29</v>
      </c>
      <c r="I146" s="4">
        <v>-927.76</v>
      </c>
      <c r="J146" s="4">
        <v>-760.46</v>
      </c>
      <c r="K146" s="5">
        <v>44015</v>
      </c>
      <c r="L146" s="4"/>
      <c r="M146" s="4" t="s">
        <v>17</v>
      </c>
    </row>
    <row r="147" spans="1:13" x14ac:dyDescent="0.25">
      <c r="A147" s="4" t="s">
        <v>50</v>
      </c>
      <c r="B147" s="5">
        <v>43977</v>
      </c>
      <c r="C147" s="4" t="str">
        <f>"G206003393"</f>
        <v>G206003393</v>
      </c>
      <c r="D147" s="4">
        <v>3082401519</v>
      </c>
      <c r="E147" s="5">
        <v>44025</v>
      </c>
      <c r="F147" s="4">
        <v>756</v>
      </c>
      <c r="G147" s="4">
        <v>4711</v>
      </c>
      <c r="H147" s="4" t="s">
        <v>21</v>
      </c>
      <c r="I147" s="4">
        <v>-20.51</v>
      </c>
      <c r="J147" s="4">
        <v>-20.51</v>
      </c>
      <c r="K147" s="5">
        <v>43977</v>
      </c>
      <c r="L147" s="4"/>
      <c r="M147" s="4" t="s">
        <v>17</v>
      </c>
    </row>
    <row r="148" spans="1:13" x14ac:dyDescent="0.25">
      <c r="A148" s="4" t="s">
        <v>13</v>
      </c>
      <c r="B148" s="5">
        <v>43965</v>
      </c>
      <c r="C148" s="4" t="str">
        <f>"2020018866"</f>
        <v>2020018866</v>
      </c>
      <c r="D148" s="4">
        <v>2964485988</v>
      </c>
      <c r="E148" s="5">
        <v>44075</v>
      </c>
      <c r="F148" s="4">
        <v>1015</v>
      </c>
      <c r="G148" s="4">
        <v>3898</v>
      </c>
      <c r="H148" s="4" t="s">
        <v>77</v>
      </c>
      <c r="I148" s="4">
        <v>36.6</v>
      </c>
      <c r="J148" s="4">
        <v>30</v>
      </c>
      <c r="K148" s="5">
        <v>43995</v>
      </c>
      <c r="L148" s="4"/>
      <c r="M148" s="4" t="s">
        <v>15</v>
      </c>
    </row>
    <row r="149" spans="1:13" x14ac:dyDescent="0.25">
      <c r="A149" s="4" t="s">
        <v>13</v>
      </c>
      <c r="B149" s="5">
        <v>43965</v>
      </c>
      <c r="C149" s="4" t="str">
        <f>"2020018867"</f>
        <v>2020018867</v>
      </c>
      <c r="D149" s="4">
        <v>2964485273</v>
      </c>
      <c r="E149" s="5">
        <v>44075</v>
      </c>
      <c r="F149" s="4">
        <v>1017</v>
      </c>
      <c r="G149" s="4">
        <v>3898</v>
      </c>
      <c r="H149" s="4" t="s">
        <v>77</v>
      </c>
      <c r="I149" s="4">
        <v>36.6</v>
      </c>
      <c r="J149" s="4">
        <v>30</v>
      </c>
      <c r="K149" s="5">
        <v>44004</v>
      </c>
      <c r="L149" s="4"/>
      <c r="M149" s="4" t="s">
        <v>15</v>
      </c>
    </row>
    <row r="150" spans="1:13" x14ac:dyDescent="0.25">
      <c r="A150" s="4" t="s">
        <v>13</v>
      </c>
      <c r="B150" s="5">
        <v>43910</v>
      </c>
      <c r="C150" s="4" t="str">
        <f>"2020010263"</f>
        <v>2020010263</v>
      </c>
      <c r="D150" s="4">
        <v>2719704325</v>
      </c>
      <c r="E150" s="5">
        <v>43970</v>
      </c>
      <c r="F150" s="4">
        <v>548</v>
      </c>
      <c r="G150" s="4">
        <v>3898</v>
      </c>
      <c r="H150" s="4" t="s">
        <v>77</v>
      </c>
      <c r="I150" s="4">
        <v>8.0500000000000007</v>
      </c>
      <c r="J150" s="4">
        <v>6.6</v>
      </c>
      <c r="K150" s="5">
        <v>43940</v>
      </c>
      <c r="L150" s="4"/>
      <c r="M150" s="4" t="s">
        <v>46</v>
      </c>
    </row>
    <row r="151" spans="1:13" x14ac:dyDescent="0.25">
      <c r="A151" s="4" t="s">
        <v>13</v>
      </c>
      <c r="B151" s="5">
        <v>43910</v>
      </c>
      <c r="C151" s="4" t="str">
        <f>"2020010264"</f>
        <v>2020010264</v>
      </c>
      <c r="D151" s="4">
        <v>2719704092</v>
      </c>
      <c r="E151" s="5">
        <v>43970</v>
      </c>
      <c r="F151" s="4">
        <v>547</v>
      </c>
      <c r="G151" s="4">
        <v>3898</v>
      </c>
      <c r="H151" s="4" t="s">
        <v>77</v>
      </c>
      <c r="I151" s="4">
        <v>8.0500000000000007</v>
      </c>
      <c r="J151" s="4">
        <v>6.6</v>
      </c>
      <c r="K151" s="5">
        <v>43940</v>
      </c>
      <c r="L151" s="4"/>
      <c r="M151" s="4" t="s">
        <v>46</v>
      </c>
    </row>
    <row r="152" spans="1:13" x14ac:dyDescent="0.25">
      <c r="A152" s="4" t="s">
        <v>13</v>
      </c>
      <c r="B152" s="5">
        <v>43909</v>
      </c>
      <c r="C152" s="4" t="str">
        <f>"2020007348"</f>
        <v>2020007348</v>
      </c>
      <c r="D152" s="4">
        <v>2716492828</v>
      </c>
      <c r="E152" s="5">
        <v>43970</v>
      </c>
      <c r="F152" s="4">
        <v>551</v>
      </c>
      <c r="G152" s="4">
        <v>3898</v>
      </c>
      <c r="H152" s="4" t="s">
        <v>77</v>
      </c>
      <c r="I152" s="4">
        <v>15.62</v>
      </c>
      <c r="J152" s="4">
        <v>12.8</v>
      </c>
      <c r="K152" s="5">
        <v>43939</v>
      </c>
      <c r="L152" s="4"/>
      <c r="M152" s="4" t="s">
        <v>46</v>
      </c>
    </row>
    <row r="153" spans="1:13" x14ac:dyDescent="0.25">
      <c r="A153" s="4" t="s">
        <v>13</v>
      </c>
      <c r="B153" s="5">
        <v>43909</v>
      </c>
      <c r="C153" s="4" t="str">
        <f>"2020010105"</f>
        <v>2020010105</v>
      </c>
      <c r="D153" s="4">
        <v>2716735253</v>
      </c>
      <c r="E153" s="5">
        <v>43970</v>
      </c>
      <c r="F153" s="4">
        <v>549</v>
      </c>
      <c r="G153" s="4">
        <v>3898</v>
      </c>
      <c r="H153" s="4" t="s">
        <v>77</v>
      </c>
      <c r="I153" s="4">
        <v>19.03</v>
      </c>
      <c r="J153" s="4">
        <v>15.6</v>
      </c>
      <c r="K153" s="5">
        <v>43939</v>
      </c>
      <c r="L153" s="4"/>
      <c r="M153" s="4" t="s">
        <v>46</v>
      </c>
    </row>
    <row r="154" spans="1:13" x14ac:dyDescent="0.25">
      <c r="A154" s="4" t="s">
        <v>13</v>
      </c>
      <c r="B154" s="5">
        <v>43909</v>
      </c>
      <c r="C154" s="4" t="str">
        <f>"2020010106"</f>
        <v>2020010106</v>
      </c>
      <c r="D154" s="4">
        <v>2716732795</v>
      </c>
      <c r="E154" s="5">
        <v>43970</v>
      </c>
      <c r="F154" s="4">
        <v>550</v>
      </c>
      <c r="G154" s="4">
        <v>3898</v>
      </c>
      <c r="H154" s="4" t="s">
        <v>77</v>
      </c>
      <c r="I154" s="4">
        <v>12.08</v>
      </c>
      <c r="J154" s="4">
        <v>9.9</v>
      </c>
      <c r="K154" s="5">
        <v>43939</v>
      </c>
      <c r="L154" s="4"/>
      <c r="M154" s="4" t="s">
        <v>46</v>
      </c>
    </row>
    <row r="155" spans="1:13" x14ac:dyDescent="0.25">
      <c r="A155" s="4" t="s">
        <v>13</v>
      </c>
      <c r="B155" s="5">
        <v>43907</v>
      </c>
      <c r="C155" s="4" t="str">
        <f>"2020006772"</f>
        <v>2020006772</v>
      </c>
      <c r="D155" s="4">
        <v>2708308933</v>
      </c>
      <c r="E155" s="5">
        <v>43970</v>
      </c>
      <c r="F155" s="4">
        <v>546</v>
      </c>
      <c r="G155" s="4">
        <v>3898</v>
      </c>
      <c r="H155" s="4" t="s">
        <v>77</v>
      </c>
      <c r="I155" s="4">
        <v>8.0500000000000007</v>
      </c>
      <c r="J155" s="4">
        <v>6.6</v>
      </c>
      <c r="K155" s="5">
        <v>43937</v>
      </c>
      <c r="L155" s="4"/>
      <c r="M155" s="4" t="s">
        <v>46</v>
      </c>
    </row>
    <row r="156" spans="1:13" x14ac:dyDescent="0.25">
      <c r="A156" s="4" t="s">
        <v>13</v>
      </c>
      <c r="B156" s="5">
        <v>43819</v>
      </c>
      <c r="C156" s="4" t="str">
        <f>"174/04"</f>
        <v>174/04</v>
      </c>
      <c r="D156" s="4">
        <v>2228576449</v>
      </c>
      <c r="E156" s="5">
        <v>43892</v>
      </c>
      <c r="F156" s="4">
        <v>150</v>
      </c>
      <c r="G156" s="4">
        <v>3903</v>
      </c>
      <c r="H156" s="4" t="s">
        <v>80</v>
      </c>
      <c r="I156" s="4">
        <v>639.28</v>
      </c>
      <c r="J156" s="4">
        <v>524</v>
      </c>
      <c r="K156" s="5">
        <v>43856</v>
      </c>
      <c r="L156" s="4"/>
      <c r="M156" s="4" t="s">
        <v>15</v>
      </c>
    </row>
    <row r="157" spans="1:13" x14ac:dyDescent="0.25">
      <c r="A157" s="4" t="s">
        <v>13</v>
      </c>
      <c r="B157" s="5">
        <v>43801</v>
      </c>
      <c r="C157" s="4" t="str">
        <f>"33 -160"</f>
        <v>33 -160</v>
      </c>
      <c r="D157" s="4">
        <v>2067956838</v>
      </c>
      <c r="E157" s="5">
        <v>43892</v>
      </c>
      <c r="F157" s="4">
        <v>178</v>
      </c>
      <c r="G157" s="4">
        <v>2980</v>
      </c>
      <c r="H157" s="4" t="s">
        <v>61</v>
      </c>
      <c r="I157" s="4">
        <v>232.67</v>
      </c>
      <c r="J157" s="4">
        <v>0.02</v>
      </c>
      <c r="K157" s="5">
        <v>43832</v>
      </c>
      <c r="L157" s="5">
        <v>44926</v>
      </c>
      <c r="M157" s="4" t="s">
        <v>17</v>
      </c>
    </row>
    <row r="158" spans="1:13" x14ac:dyDescent="0.25">
      <c r="A158" s="4" t="s">
        <v>13</v>
      </c>
      <c r="B158" s="5">
        <v>43783</v>
      </c>
      <c r="C158" s="4" t="str">
        <f>"134"</f>
        <v>134</v>
      </c>
      <c r="D158" s="4">
        <v>1969315226</v>
      </c>
      <c r="E158" s="5">
        <v>43892</v>
      </c>
      <c r="F158" s="4">
        <v>168</v>
      </c>
      <c r="G158" s="4">
        <v>3253</v>
      </c>
      <c r="H158" s="4" t="s">
        <v>81</v>
      </c>
      <c r="I158" s="4">
        <v>220</v>
      </c>
      <c r="J158" s="4">
        <v>220</v>
      </c>
      <c r="K158" s="5">
        <v>43813</v>
      </c>
      <c r="L158" s="5">
        <v>45012</v>
      </c>
      <c r="M158" s="4" t="s">
        <v>17</v>
      </c>
    </row>
    <row r="159" spans="1:13" x14ac:dyDescent="0.25">
      <c r="A159" s="4" t="s">
        <v>13</v>
      </c>
      <c r="B159" s="5">
        <v>43654</v>
      </c>
      <c r="C159" s="4" t="str">
        <f>"2019025966"</f>
        <v>2019025966</v>
      </c>
      <c r="D159" s="4">
        <v>1207522319</v>
      </c>
      <c r="E159" s="5">
        <v>43700</v>
      </c>
      <c r="F159" s="4">
        <v>875</v>
      </c>
      <c r="G159" s="4">
        <v>3898</v>
      </c>
      <c r="H159" s="4" t="s">
        <v>77</v>
      </c>
      <c r="I159" s="4">
        <v>8.0500000000000007</v>
      </c>
      <c r="J159" s="4">
        <v>6.6</v>
      </c>
      <c r="K159" s="5">
        <v>43684</v>
      </c>
      <c r="L159" s="4"/>
      <c r="M159" s="4" t="s">
        <v>46</v>
      </c>
    </row>
    <row r="160" spans="1:13" x14ac:dyDescent="0.25">
      <c r="A160" s="4" t="s">
        <v>13</v>
      </c>
      <c r="B160" s="5">
        <v>43654</v>
      </c>
      <c r="C160" s="4" t="str">
        <f>"2019025967"</f>
        <v>2019025967</v>
      </c>
      <c r="D160" s="4">
        <v>1207528458</v>
      </c>
      <c r="E160" s="5">
        <v>43700</v>
      </c>
      <c r="F160" s="4">
        <v>876</v>
      </c>
      <c r="G160" s="4">
        <v>3898</v>
      </c>
      <c r="H160" s="4" t="s">
        <v>77</v>
      </c>
      <c r="I160" s="4">
        <v>8.0500000000000007</v>
      </c>
      <c r="J160" s="4">
        <v>6.6</v>
      </c>
      <c r="K160" s="5">
        <v>43684</v>
      </c>
      <c r="L160" s="4"/>
      <c r="M160" s="4" t="s">
        <v>46</v>
      </c>
    </row>
    <row r="161" spans="1:13" x14ac:dyDescent="0.25">
      <c r="A161" s="4" t="s">
        <v>13</v>
      </c>
      <c r="B161" s="5">
        <v>43650</v>
      </c>
      <c r="C161" s="4" t="str">
        <f>"179"</f>
        <v>179</v>
      </c>
      <c r="D161" s="4">
        <v>1540144655</v>
      </c>
      <c r="E161" s="5">
        <v>43774</v>
      </c>
      <c r="F161" s="4">
        <v>1124</v>
      </c>
      <c r="G161" s="4">
        <v>4574</v>
      </c>
      <c r="H161" s="4" t="s">
        <v>82</v>
      </c>
      <c r="I161" s="6">
        <v>1100</v>
      </c>
      <c r="J161" s="6">
        <v>1100</v>
      </c>
      <c r="K161" s="5">
        <v>43743</v>
      </c>
      <c r="L161" s="4"/>
      <c r="M161" s="4" t="s">
        <v>17</v>
      </c>
    </row>
    <row r="162" spans="1:13" x14ac:dyDescent="0.25">
      <c r="A162" s="4" t="s">
        <v>50</v>
      </c>
      <c r="B162" s="5">
        <v>43635</v>
      </c>
      <c r="C162" s="4" t="str">
        <f>"330"</f>
        <v>330</v>
      </c>
      <c r="D162" s="4">
        <v>1108541442</v>
      </c>
      <c r="E162" s="5">
        <v>43689</v>
      </c>
      <c r="F162" s="4">
        <v>719</v>
      </c>
      <c r="G162" s="4">
        <v>4470</v>
      </c>
      <c r="H162" s="4" t="s">
        <v>83</v>
      </c>
      <c r="I162" s="4">
        <v>-170.8</v>
      </c>
      <c r="J162" s="4">
        <v>-140</v>
      </c>
      <c r="K162" s="5">
        <v>43708</v>
      </c>
      <c r="L162" s="4"/>
      <c r="M162" s="4" t="s">
        <v>19</v>
      </c>
    </row>
    <row r="163" spans="1:13" x14ac:dyDescent="0.25">
      <c r="A163" s="4" t="s">
        <v>13</v>
      </c>
      <c r="B163" s="5">
        <v>43621</v>
      </c>
      <c r="C163" s="4" t="str">
        <f>"2019019905"</f>
        <v>2019019905</v>
      </c>
      <c r="D163" s="4">
        <v>1014738368</v>
      </c>
      <c r="E163" s="5">
        <v>43700</v>
      </c>
      <c r="F163" s="4">
        <v>870</v>
      </c>
      <c r="G163" s="4">
        <v>3898</v>
      </c>
      <c r="H163" s="4" t="s">
        <v>77</v>
      </c>
      <c r="I163" s="4">
        <v>15.62</v>
      </c>
      <c r="J163" s="4">
        <v>12.8</v>
      </c>
      <c r="K163" s="5">
        <v>43652</v>
      </c>
      <c r="L163" s="4"/>
      <c r="M163" s="4" t="s">
        <v>46</v>
      </c>
    </row>
    <row r="164" spans="1:13" x14ac:dyDescent="0.25">
      <c r="A164" s="4" t="s">
        <v>13</v>
      </c>
      <c r="B164" s="5">
        <v>43621</v>
      </c>
      <c r="C164" s="4" t="str">
        <f>"2019022603"</f>
        <v>2019022603</v>
      </c>
      <c r="D164" s="4">
        <v>1014857934</v>
      </c>
      <c r="E164" s="5">
        <v>43700</v>
      </c>
      <c r="F164" s="4">
        <v>871</v>
      </c>
      <c r="G164" s="4">
        <v>3898</v>
      </c>
      <c r="H164" s="4" t="s">
        <v>77</v>
      </c>
      <c r="I164" s="4">
        <v>19.03</v>
      </c>
      <c r="J164" s="4">
        <v>15.6</v>
      </c>
      <c r="K164" s="5">
        <v>43652</v>
      </c>
      <c r="L164" s="4"/>
      <c r="M164" s="4" t="s">
        <v>46</v>
      </c>
    </row>
    <row r="165" spans="1:13" x14ac:dyDescent="0.25">
      <c r="A165" s="4" t="s">
        <v>13</v>
      </c>
      <c r="B165" s="5">
        <v>43621</v>
      </c>
      <c r="C165" s="4" t="str">
        <f>"2019022604"</f>
        <v>2019022604</v>
      </c>
      <c r="D165" s="4">
        <v>1014875264</v>
      </c>
      <c r="E165" s="5">
        <v>43700</v>
      </c>
      <c r="F165" s="4">
        <v>872</v>
      </c>
      <c r="G165" s="4">
        <v>3898</v>
      </c>
      <c r="H165" s="4" t="s">
        <v>77</v>
      </c>
      <c r="I165" s="4">
        <v>12.08</v>
      </c>
      <c r="J165" s="4">
        <v>9.9</v>
      </c>
      <c r="K165" s="5">
        <v>43652</v>
      </c>
      <c r="L165" s="4"/>
      <c r="M165" s="4" t="s">
        <v>46</v>
      </c>
    </row>
    <row r="166" spans="1:13" x14ac:dyDescent="0.25">
      <c r="A166" s="4" t="s">
        <v>13</v>
      </c>
      <c r="B166" s="5">
        <v>43605</v>
      </c>
      <c r="C166" s="4" t="str">
        <f>"2019018593"</f>
        <v>2019018593</v>
      </c>
      <c r="D166" s="4">
        <v>919593955</v>
      </c>
      <c r="E166" s="5">
        <v>43700</v>
      </c>
      <c r="F166" s="4">
        <v>853</v>
      </c>
      <c r="G166" s="4">
        <v>3898</v>
      </c>
      <c r="H166" s="4" t="s">
        <v>77</v>
      </c>
      <c r="I166" s="4">
        <v>36.6</v>
      </c>
      <c r="J166" s="4">
        <v>30</v>
      </c>
      <c r="K166" s="5">
        <v>43637</v>
      </c>
      <c r="L166" s="4"/>
      <c r="M166" s="4" t="s">
        <v>15</v>
      </c>
    </row>
    <row r="167" spans="1:13" x14ac:dyDescent="0.25">
      <c r="A167" s="4" t="s">
        <v>13</v>
      </c>
      <c r="B167" s="5">
        <v>43605</v>
      </c>
      <c r="C167" s="4" t="str">
        <f>"2019018594"</f>
        <v>2019018594</v>
      </c>
      <c r="D167" s="4">
        <v>919594294</v>
      </c>
      <c r="E167" s="5">
        <v>43700</v>
      </c>
      <c r="F167" s="4">
        <v>854</v>
      </c>
      <c r="G167" s="4">
        <v>3898</v>
      </c>
      <c r="H167" s="4" t="s">
        <v>77</v>
      </c>
      <c r="I167" s="4">
        <v>36.6</v>
      </c>
      <c r="J167" s="4">
        <v>30</v>
      </c>
      <c r="K167" s="5">
        <v>43637</v>
      </c>
      <c r="L167" s="4"/>
      <c r="M167" s="4" t="s">
        <v>15</v>
      </c>
    </row>
    <row r="168" spans="1:13" x14ac:dyDescent="0.25">
      <c r="A168" s="4" t="s">
        <v>13</v>
      </c>
      <c r="B168" s="5">
        <v>43565</v>
      </c>
      <c r="C168" s="4" t="str">
        <f>"436920450202414"</f>
        <v>436920450202414</v>
      </c>
      <c r="D168" s="4">
        <v>2862433381</v>
      </c>
      <c r="E168" s="5">
        <v>43970</v>
      </c>
      <c r="F168" s="4">
        <v>545</v>
      </c>
      <c r="G168" s="4">
        <v>4179</v>
      </c>
      <c r="H168" s="4" t="s">
        <v>78</v>
      </c>
      <c r="I168" s="4">
        <v>65.2</v>
      </c>
      <c r="J168" s="4">
        <v>53.44</v>
      </c>
      <c r="K168" s="5">
        <v>43974</v>
      </c>
      <c r="L168" s="4"/>
      <c r="M168" s="4" t="s">
        <v>19</v>
      </c>
    </row>
    <row r="169" spans="1:13" x14ac:dyDescent="0.25">
      <c r="A169" s="4" t="s">
        <v>13</v>
      </c>
      <c r="B169" s="5">
        <v>43448</v>
      </c>
      <c r="C169" s="4" t="str">
        <f>"014/117"</f>
        <v>014/117</v>
      </c>
      <c r="D169" s="4">
        <v>133892854</v>
      </c>
      <c r="E169" s="5">
        <v>43465</v>
      </c>
      <c r="F169" s="4">
        <v>1437</v>
      </c>
      <c r="G169" s="4">
        <v>3017</v>
      </c>
      <c r="H169" s="4" t="s">
        <v>84</v>
      </c>
      <c r="I169" s="4">
        <v>97.6</v>
      </c>
      <c r="J169" s="4">
        <v>80</v>
      </c>
      <c r="K169" s="5">
        <v>43508</v>
      </c>
      <c r="L169" s="4"/>
      <c r="M169" s="4" t="s">
        <v>17</v>
      </c>
    </row>
    <row r="170" spans="1:13" x14ac:dyDescent="0.25">
      <c r="A170" s="4" t="s">
        <v>13</v>
      </c>
      <c r="B170" s="5">
        <v>43362</v>
      </c>
      <c r="C170" s="4" t="str">
        <f>"01/PA/2018 bis"</f>
        <v>01/PA/2018 bis</v>
      </c>
      <c r="D170" s="4">
        <v>119485473</v>
      </c>
      <c r="E170" s="5">
        <v>43377</v>
      </c>
      <c r="F170" s="4">
        <v>1052</v>
      </c>
      <c r="G170" s="4">
        <v>4415</v>
      </c>
      <c r="H170" s="4" t="s">
        <v>85</v>
      </c>
      <c r="I170" s="4">
        <v>244</v>
      </c>
      <c r="J170" s="4">
        <v>200</v>
      </c>
      <c r="K170" s="4"/>
      <c r="L170" s="4"/>
      <c r="M170" s="4" t="s">
        <v>17</v>
      </c>
    </row>
    <row r="171" spans="1:13" x14ac:dyDescent="0.25">
      <c r="A171" s="4" t="s">
        <v>13</v>
      </c>
      <c r="B171" s="5">
        <v>43255</v>
      </c>
      <c r="C171" s="4" t="str">
        <f>"26926"</f>
        <v>26926</v>
      </c>
      <c r="D171" s="4">
        <v>106180752</v>
      </c>
      <c r="E171" s="5">
        <v>43328</v>
      </c>
      <c r="F171" s="4">
        <v>880</v>
      </c>
      <c r="G171" s="4">
        <v>3898</v>
      </c>
      <c r="H171" s="4" t="s">
        <v>77</v>
      </c>
      <c r="I171" s="4">
        <v>8.0500000000000007</v>
      </c>
      <c r="J171" s="4">
        <v>6.6</v>
      </c>
      <c r="K171" s="5">
        <v>43283</v>
      </c>
      <c r="L171" s="4"/>
      <c r="M171" s="4" t="s">
        <v>46</v>
      </c>
    </row>
    <row r="172" spans="1:13" x14ac:dyDescent="0.25">
      <c r="A172" s="4" t="s">
        <v>13</v>
      </c>
      <c r="B172" s="5">
        <v>43252</v>
      </c>
      <c r="C172" s="4" t="str">
        <f>"21968"</f>
        <v>21968</v>
      </c>
      <c r="D172" s="4">
        <v>106165371</v>
      </c>
      <c r="E172" s="5">
        <v>43328</v>
      </c>
      <c r="F172" s="4">
        <v>878</v>
      </c>
      <c r="G172" s="4">
        <v>3898</v>
      </c>
      <c r="H172" s="4" t="s">
        <v>77</v>
      </c>
      <c r="I172" s="4">
        <v>19.03</v>
      </c>
      <c r="J172" s="4">
        <v>15.6</v>
      </c>
      <c r="K172" s="5">
        <v>43283</v>
      </c>
      <c r="L172" s="4"/>
      <c r="M172" s="4" t="s">
        <v>46</v>
      </c>
    </row>
    <row r="173" spans="1:13" x14ac:dyDescent="0.25">
      <c r="A173" s="4" t="s">
        <v>13</v>
      </c>
      <c r="B173" s="5">
        <v>43252</v>
      </c>
      <c r="C173" s="4" t="str">
        <f>"21969"</f>
        <v>21969</v>
      </c>
      <c r="D173" s="4">
        <v>106163617</v>
      </c>
      <c r="E173" s="5">
        <v>43328</v>
      </c>
      <c r="F173" s="4">
        <v>879</v>
      </c>
      <c r="G173" s="4">
        <v>3898</v>
      </c>
      <c r="H173" s="4" t="s">
        <v>77</v>
      </c>
      <c r="I173" s="4">
        <v>12.08</v>
      </c>
      <c r="J173" s="4">
        <v>9.9</v>
      </c>
      <c r="K173" s="5">
        <v>43283</v>
      </c>
      <c r="L173" s="4"/>
      <c r="M173" s="4" t="s">
        <v>46</v>
      </c>
    </row>
    <row r="174" spans="1:13" x14ac:dyDescent="0.25">
      <c r="A174" s="4" t="s">
        <v>13</v>
      </c>
      <c r="B174" s="5">
        <v>43251</v>
      </c>
      <c r="C174" s="4" t="str">
        <f>"18577"</f>
        <v>18577</v>
      </c>
      <c r="D174" s="4">
        <v>106149383</v>
      </c>
      <c r="E174" s="5">
        <v>43328</v>
      </c>
      <c r="F174" s="4">
        <v>877</v>
      </c>
      <c r="G174" s="4">
        <v>3898</v>
      </c>
      <c r="H174" s="4" t="s">
        <v>77</v>
      </c>
      <c r="I174" s="4">
        <v>15.62</v>
      </c>
      <c r="J174" s="4">
        <v>12.8</v>
      </c>
      <c r="K174" s="5">
        <v>43283</v>
      </c>
      <c r="L174" s="4"/>
      <c r="M174" s="4" t="s">
        <v>46</v>
      </c>
    </row>
    <row r="175" spans="1:13" x14ac:dyDescent="0.25">
      <c r="A175" s="4" t="s">
        <v>13</v>
      </c>
      <c r="B175" s="5">
        <v>43234</v>
      </c>
      <c r="C175" s="4" t="str">
        <f>"13194"</f>
        <v>13194</v>
      </c>
      <c r="D175" s="4">
        <v>104127122</v>
      </c>
      <c r="E175" s="5">
        <v>43332</v>
      </c>
      <c r="F175" s="4">
        <v>978</v>
      </c>
      <c r="G175" s="4">
        <v>3898</v>
      </c>
      <c r="H175" s="4" t="s">
        <v>77</v>
      </c>
      <c r="I175" s="4">
        <v>36.6</v>
      </c>
      <c r="J175" s="4">
        <v>30</v>
      </c>
      <c r="K175" s="5">
        <v>43272</v>
      </c>
      <c r="L175" s="4"/>
      <c r="M175" s="4" t="s">
        <v>15</v>
      </c>
    </row>
    <row r="176" spans="1:13" x14ac:dyDescent="0.25">
      <c r="A176" s="4" t="s">
        <v>13</v>
      </c>
      <c r="B176" s="5">
        <v>43234</v>
      </c>
      <c r="C176" s="4" t="str">
        <f>"13195"</f>
        <v>13195</v>
      </c>
      <c r="D176" s="4">
        <v>104126833</v>
      </c>
      <c r="E176" s="5">
        <v>43332</v>
      </c>
      <c r="F176" s="4">
        <v>977</v>
      </c>
      <c r="G176" s="4">
        <v>3898</v>
      </c>
      <c r="H176" s="4" t="s">
        <v>77</v>
      </c>
      <c r="I176" s="4">
        <v>36.6</v>
      </c>
      <c r="J176" s="4">
        <v>30</v>
      </c>
      <c r="K176" s="5">
        <v>43272</v>
      </c>
      <c r="L176" s="4"/>
      <c r="M176" s="4" t="s">
        <v>15</v>
      </c>
    </row>
    <row r="177" spans="1:13" x14ac:dyDescent="0.25">
      <c r="A177" s="4" t="s">
        <v>13</v>
      </c>
      <c r="B177" s="5">
        <v>42863</v>
      </c>
      <c r="C177" s="4" t="str">
        <f>"16364"</f>
        <v>16364</v>
      </c>
      <c r="D177" s="4">
        <v>71547247</v>
      </c>
      <c r="E177" s="5">
        <v>42907</v>
      </c>
      <c r="F177" s="4">
        <v>566</v>
      </c>
      <c r="G177" s="4">
        <v>3898</v>
      </c>
      <c r="H177" s="4" t="s">
        <v>77</v>
      </c>
      <c r="I177" s="4">
        <v>36.6</v>
      </c>
      <c r="J177" s="4">
        <v>30</v>
      </c>
      <c r="K177" s="5">
        <v>42902</v>
      </c>
      <c r="L177" s="4"/>
      <c r="M177" s="4" t="s">
        <v>15</v>
      </c>
    </row>
    <row r="178" spans="1:13" x14ac:dyDescent="0.25">
      <c r="A178" s="4" t="s">
        <v>13</v>
      </c>
      <c r="B178" s="5">
        <v>42863</v>
      </c>
      <c r="C178" s="4" t="str">
        <f>"16365"</f>
        <v>16365</v>
      </c>
      <c r="D178" s="4">
        <v>71547281</v>
      </c>
      <c r="E178" s="5">
        <v>42907</v>
      </c>
      <c r="F178" s="4">
        <v>565</v>
      </c>
      <c r="G178" s="4">
        <v>3898</v>
      </c>
      <c r="H178" s="4" t="s">
        <v>77</v>
      </c>
      <c r="I178" s="4">
        <v>36.6</v>
      </c>
      <c r="J178" s="4">
        <v>30</v>
      </c>
      <c r="K178" s="5">
        <v>42902</v>
      </c>
      <c r="L178" s="4"/>
      <c r="M178" s="4" t="s">
        <v>15</v>
      </c>
    </row>
    <row r="179" spans="1:13" x14ac:dyDescent="0.25">
      <c r="A179" s="4" t="s">
        <v>13</v>
      </c>
      <c r="B179" s="5">
        <v>42821</v>
      </c>
      <c r="C179" s="4" t="str">
        <f>"13607"</f>
        <v>13607</v>
      </c>
      <c r="D179" s="4">
        <v>66818364</v>
      </c>
      <c r="E179" s="5">
        <v>42908</v>
      </c>
      <c r="F179" s="4">
        <v>585</v>
      </c>
      <c r="G179" s="4">
        <v>3898</v>
      </c>
      <c r="H179" s="4" t="s">
        <v>77</v>
      </c>
      <c r="I179" s="4">
        <v>8.0500000000000007</v>
      </c>
      <c r="J179" s="4">
        <v>6.6</v>
      </c>
      <c r="K179" s="5">
        <v>42853</v>
      </c>
      <c r="L179" s="4"/>
      <c r="M179" s="4" t="s">
        <v>17</v>
      </c>
    </row>
    <row r="180" spans="1:13" x14ac:dyDescent="0.25">
      <c r="A180" s="4" t="s">
        <v>13</v>
      </c>
      <c r="B180" s="5">
        <v>42821</v>
      </c>
      <c r="C180" s="4" t="str">
        <f>"13878"</f>
        <v>13878</v>
      </c>
      <c r="D180" s="4">
        <v>66817291</v>
      </c>
      <c r="E180" s="5">
        <v>42908</v>
      </c>
      <c r="F180" s="4">
        <v>584</v>
      </c>
      <c r="G180" s="4">
        <v>3898</v>
      </c>
      <c r="H180" s="4" t="s">
        <v>77</v>
      </c>
      <c r="I180" s="4">
        <v>8.0500000000000007</v>
      </c>
      <c r="J180" s="4">
        <v>6.6</v>
      </c>
      <c r="K180" s="5">
        <v>42853</v>
      </c>
      <c r="L180" s="4"/>
      <c r="M180" s="4" t="s">
        <v>17</v>
      </c>
    </row>
    <row r="181" spans="1:13" x14ac:dyDescent="0.25">
      <c r="A181" s="4" t="s">
        <v>13</v>
      </c>
      <c r="B181" s="5">
        <v>42818</v>
      </c>
      <c r="C181" s="4" t="str">
        <f>"7870"</f>
        <v>7870</v>
      </c>
      <c r="D181" s="4">
        <v>66674079</v>
      </c>
      <c r="E181" s="5">
        <v>42908</v>
      </c>
      <c r="F181" s="4">
        <v>583</v>
      </c>
      <c r="G181" s="4">
        <v>3898</v>
      </c>
      <c r="H181" s="4" t="s">
        <v>77</v>
      </c>
      <c r="I181" s="4">
        <v>15.62</v>
      </c>
      <c r="J181" s="4">
        <v>12.8</v>
      </c>
      <c r="K181" s="5">
        <v>42852</v>
      </c>
      <c r="L181" s="4"/>
      <c r="M181" s="4" t="s">
        <v>17</v>
      </c>
    </row>
    <row r="182" spans="1:13" x14ac:dyDescent="0.25">
      <c r="A182" s="4" t="s">
        <v>13</v>
      </c>
      <c r="B182" s="5">
        <v>42818</v>
      </c>
      <c r="C182" s="4" t="str">
        <f>"8941"</f>
        <v>8941</v>
      </c>
      <c r="D182" s="4">
        <v>66677934</v>
      </c>
      <c r="E182" s="5">
        <v>42908</v>
      </c>
      <c r="F182" s="4">
        <v>582</v>
      </c>
      <c r="G182" s="4">
        <v>3898</v>
      </c>
      <c r="H182" s="4" t="s">
        <v>77</v>
      </c>
      <c r="I182" s="4">
        <v>19.03</v>
      </c>
      <c r="J182" s="4">
        <v>15.6</v>
      </c>
      <c r="K182" s="5">
        <v>42852</v>
      </c>
      <c r="L182" s="4"/>
      <c r="M182" s="4" t="s">
        <v>17</v>
      </c>
    </row>
    <row r="183" spans="1:13" x14ac:dyDescent="0.25">
      <c r="A183" s="4" t="s">
        <v>13</v>
      </c>
      <c r="B183" s="5">
        <v>42818</v>
      </c>
      <c r="C183" s="4" t="str">
        <f>"8943"</f>
        <v>8943</v>
      </c>
      <c r="D183" s="4">
        <v>66677936</v>
      </c>
      <c r="E183" s="5">
        <v>42908</v>
      </c>
      <c r="F183" s="4">
        <v>581</v>
      </c>
      <c r="G183" s="4">
        <v>3898</v>
      </c>
      <c r="H183" s="4" t="s">
        <v>77</v>
      </c>
      <c r="I183" s="4">
        <v>12.08</v>
      </c>
      <c r="J183" s="4">
        <v>9.9</v>
      </c>
      <c r="K183" s="5">
        <v>42821</v>
      </c>
      <c r="L183" s="4"/>
      <c r="M183" s="4" t="s">
        <v>17</v>
      </c>
    </row>
    <row r="184" spans="1:13" x14ac:dyDescent="0.25">
      <c r="A184" s="4" t="s">
        <v>13</v>
      </c>
      <c r="B184" s="5">
        <v>42718</v>
      </c>
      <c r="C184" s="4" t="str">
        <f>"33 -200"</f>
        <v>33 -200</v>
      </c>
      <c r="D184" s="4">
        <v>57723499</v>
      </c>
      <c r="E184" s="5">
        <v>42723</v>
      </c>
      <c r="F184" s="4">
        <v>1663</v>
      </c>
      <c r="G184" s="4">
        <v>2980</v>
      </c>
      <c r="H184" s="4" t="s">
        <v>61</v>
      </c>
      <c r="I184" s="4">
        <v>252.46</v>
      </c>
      <c r="J184" s="4">
        <v>206.93</v>
      </c>
      <c r="K184" s="5">
        <v>42750</v>
      </c>
      <c r="L184" s="4"/>
      <c r="M184" s="4" t="s">
        <v>17</v>
      </c>
    </row>
    <row r="185" spans="1:13" x14ac:dyDescent="0.25">
      <c r="A185" s="4" t="s">
        <v>13</v>
      </c>
      <c r="B185" s="5">
        <v>42692</v>
      </c>
      <c r="C185" s="4" t="str">
        <f>"35651"</f>
        <v>35651</v>
      </c>
      <c r="D185" s="4">
        <v>55373548</v>
      </c>
      <c r="E185" s="5">
        <v>42720</v>
      </c>
      <c r="F185" s="4">
        <v>1618</v>
      </c>
      <c r="G185" s="4">
        <v>3898</v>
      </c>
      <c r="H185" s="4" t="s">
        <v>77</v>
      </c>
      <c r="I185" s="4">
        <v>15.62</v>
      </c>
      <c r="J185" s="4">
        <v>12.8</v>
      </c>
      <c r="K185" s="5">
        <v>42725</v>
      </c>
      <c r="L185" s="4"/>
      <c r="M185" s="4" t="s">
        <v>17</v>
      </c>
    </row>
    <row r="186" spans="1:13" x14ac:dyDescent="0.25">
      <c r="A186" s="4" t="s">
        <v>13</v>
      </c>
      <c r="B186" s="5">
        <v>42692</v>
      </c>
      <c r="C186" s="4" t="str">
        <f>"38661"</f>
        <v>38661</v>
      </c>
      <c r="D186" s="4">
        <v>55390206</v>
      </c>
      <c r="E186" s="5">
        <v>42720</v>
      </c>
      <c r="F186" s="4">
        <v>1619</v>
      </c>
      <c r="G186" s="4">
        <v>3898</v>
      </c>
      <c r="H186" s="4" t="s">
        <v>77</v>
      </c>
      <c r="I186" s="4">
        <v>8.0500000000000007</v>
      </c>
      <c r="J186" s="4">
        <v>6.6</v>
      </c>
      <c r="K186" s="5">
        <v>42725</v>
      </c>
      <c r="L186" s="4"/>
      <c r="M186" s="4" t="s">
        <v>17</v>
      </c>
    </row>
    <row r="187" spans="1:13" x14ac:dyDescent="0.25">
      <c r="A187" s="4" t="s">
        <v>13</v>
      </c>
      <c r="B187" s="5">
        <v>42692</v>
      </c>
      <c r="C187" s="4" t="str">
        <f>"38662"</f>
        <v>38662</v>
      </c>
      <c r="D187" s="4">
        <v>55390201</v>
      </c>
      <c r="E187" s="5">
        <v>42720</v>
      </c>
      <c r="F187" s="4">
        <v>1620</v>
      </c>
      <c r="G187" s="4">
        <v>3898</v>
      </c>
      <c r="H187" s="4" t="s">
        <v>77</v>
      </c>
      <c r="I187" s="4">
        <v>8.0500000000000007</v>
      </c>
      <c r="J187" s="4">
        <v>6.6</v>
      </c>
      <c r="K187" s="5">
        <v>42725</v>
      </c>
      <c r="L187" s="4"/>
      <c r="M187" s="4" t="s">
        <v>17</v>
      </c>
    </row>
    <row r="188" spans="1:13" x14ac:dyDescent="0.25">
      <c r="A188" s="4" t="s">
        <v>13</v>
      </c>
      <c r="B188" s="5">
        <v>42671</v>
      </c>
      <c r="C188" s="4" t="str">
        <f>"29917"</f>
        <v>29917</v>
      </c>
      <c r="D188" s="4">
        <v>53458650</v>
      </c>
      <c r="E188" s="5">
        <v>42689</v>
      </c>
      <c r="F188" s="4">
        <v>1506</v>
      </c>
      <c r="G188" s="4">
        <v>3898</v>
      </c>
      <c r="H188" s="4" t="s">
        <v>77</v>
      </c>
      <c r="I188" s="4">
        <v>19.03</v>
      </c>
      <c r="J188" s="4">
        <v>15.6</v>
      </c>
      <c r="K188" s="5">
        <v>42704</v>
      </c>
      <c r="L188" s="4"/>
      <c r="M188" s="4" t="s">
        <v>17</v>
      </c>
    </row>
    <row r="189" spans="1:13" x14ac:dyDescent="0.25">
      <c r="A189" s="4" t="s">
        <v>13</v>
      </c>
      <c r="B189" s="5">
        <v>42671</v>
      </c>
      <c r="C189" s="4" t="str">
        <f>"29918"</f>
        <v>29918</v>
      </c>
      <c r="D189" s="4">
        <v>53458758</v>
      </c>
      <c r="E189" s="5">
        <v>42689</v>
      </c>
      <c r="F189" s="4">
        <v>1507</v>
      </c>
      <c r="G189" s="4">
        <v>3898</v>
      </c>
      <c r="H189" s="4" t="s">
        <v>77</v>
      </c>
      <c r="I189" s="4">
        <v>12.08</v>
      </c>
      <c r="J189" s="4">
        <v>9.9</v>
      </c>
      <c r="K189" s="5">
        <v>42704</v>
      </c>
      <c r="L189" s="4"/>
      <c r="M189" s="4" t="s">
        <v>17</v>
      </c>
    </row>
    <row r="190" spans="1:13" x14ac:dyDescent="0.25">
      <c r="A190" s="4" t="s">
        <v>13</v>
      </c>
      <c r="B190" s="5">
        <v>42577</v>
      </c>
      <c r="C190" s="4" t="str">
        <f>"21345"</f>
        <v>21345</v>
      </c>
      <c r="D190" s="4">
        <v>47749505</v>
      </c>
      <c r="E190" s="5">
        <v>42615</v>
      </c>
      <c r="F190" s="4">
        <v>1163</v>
      </c>
      <c r="G190" s="4">
        <v>3898</v>
      </c>
      <c r="H190" s="4" t="s">
        <v>77</v>
      </c>
      <c r="I190" s="4">
        <v>36.6</v>
      </c>
      <c r="J190" s="4">
        <v>30</v>
      </c>
      <c r="K190" s="5">
        <v>42635</v>
      </c>
      <c r="L190" s="4"/>
      <c r="M190" s="4" t="s">
        <v>17</v>
      </c>
    </row>
    <row r="191" spans="1:13" x14ac:dyDescent="0.25">
      <c r="A191" s="4" t="s">
        <v>13</v>
      </c>
      <c r="B191" s="5">
        <v>42577</v>
      </c>
      <c r="C191" s="4" t="str">
        <f>"21346"</f>
        <v>21346</v>
      </c>
      <c r="D191" s="4">
        <v>47749506</v>
      </c>
      <c r="E191" s="5">
        <v>42615</v>
      </c>
      <c r="F191" s="4">
        <v>1162</v>
      </c>
      <c r="G191" s="4">
        <v>3898</v>
      </c>
      <c r="H191" s="4" t="s">
        <v>77</v>
      </c>
      <c r="I191" s="4">
        <v>36.6</v>
      </c>
      <c r="J191" s="4">
        <v>30</v>
      </c>
      <c r="K191" s="5">
        <v>42635</v>
      </c>
      <c r="L191" s="4"/>
      <c r="M191" s="4" t="s">
        <v>17</v>
      </c>
    </row>
    <row r="192" spans="1:13" x14ac:dyDescent="0.25">
      <c r="A192" s="4" t="s">
        <v>13</v>
      </c>
      <c r="B192" s="5">
        <v>42430</v>
      </c>
      <c r="C192" s="4" t="str">
        <f>"10002"</f>
        <v>10002</v>
      </c>
      <c r="D192" s="4">
        <v>36315694</v>
      </c>
      <c r="E192" s="5">
        <v>42625</v>
      </c>
      <c r="F192" s="4">
        <v>1222</v>
      </c>
      <c r="G192" s="4">
        <v>3898</v>
      </c>
      <c r="H192" s="4" t="s">
        <v>77</v>
      </c>
      <c r="I192" s="4">
        <v>8.0500000000000007</v>
      </c>
      <c r="J192" s="4">
        <v>6.6</v>
      </c>
      <c r="K192" s="5">
        <v>42502</v>
      </c>
      <c r="L192" s="4"/>
      <c r="M192" s="4" t="s">
        <v>46</v>
      </c>
    </row>
    <row r="193" spans="1:13" x14ac:dyDescent="0.25">
      <c r="A193" s="4" t="s">
        <v>13</v>
      </c>
      <c r="B193" s="5">
        <v>42430</v>
      </c>
      <c r="C193" s="4" t="str">
        <f>"10003"</f>
        <v>10003</v>
      </c>
      <c r="D193" s="4">
        <v>36315695</v>
      </c>
      <c r="E193" s="5">
        <v>42625</v>
      </c>
      <c r="F193" s="4">
        <v>1218</v>
      </c>
      <c r="G193" s="4">
        <v>3898</v>
      </c>
      <c r="H193" s="4" t="s">
        <v>77</v>
      </c>
      <c r="I193" s="4">
        <v>8.0500000000000007</v>
      </c>
      <c r="J193" s="4">
        <v>6.6</v>
      </c>
      <c r="K193" s="5">
        <v>42502</v>
      </c>
      <c r="L193" s="4"/>
      <c r="M193" s="4" t="s">
        <v>46</v>
      </c>
    </row>
    <row r="194" spans="1:13" x14ac:dyDescent="0.25">
      <c r="A194" s="4" t="s">
        <v>13</v>
      </c>
      <c r="B194" s="5">
        <v>42430</v>
      </c>
      <c r="C194" s="4" t="str">
        <f>"9253"</f>
        <v>9253</v>
      </c>
      <c r="D194" s="4">
        <v>36315727</v>
      </c>
      <c r="E194" s="5">
        <v>42625</v>
      </c>
      <c r="F194" s="4">
        <v>1219</v>
      </c>
      <c r="G194" s="4">
        <v>3898</v>
      </c>
      <c r="H194" s="4" t="s">
        <v>77</v>
      </c>
      <c r="I194" s="4">
        <v>15.62</v>
      </c>
      <c r="J194" s="4">
        <v>12.8</v>
      </c>
      <c r="K194" s="5">
        <v>42501</v>
      </c>
      <c r="L194" s="4"/>
      <c r="M194" s="4" t="s">
        <v>46</v>
      </c>
    </row>
    <row r="195" spans="1:13" x14ac:dyDescent="0.25">
      <c r="A195" s="4" t="s">
        <v>13</v>
      </c>
      <c r="B195" s="5">
        <v>42430</v>
      </c>
      <c r="C195" s="4" t="str">
        <f>"9799"</f>
        <v>9799</v>
      </c>
      <c r="D195" s="4">
        <v>36315726</v>
      </c>
      <c r="E195" s="5">
        <v>42625</v>
      </c>
      <c r="F195" s="4">
        <v>1220</v>
      </c>
      <c r="G195" s="4">
        <v>3898</v>
      </c>
      <c r="H195" s="4" t="s">
        <v>77</v>
      </c>
      <c r="I195" s="4">
        <v>19.03</v>
      </c>
      <c r="J195" s="4">
        <v>15.6</v>
      </c>
      <c r="K195" s="5">
        <v>42502</v>
      </c>
      <c r="L195" s="4"/>
      <c r="M195" s="4" t="s">
        <v>46</v>
      </c>
    </row>
    <row r="196" spans="1:13" x14ac:dyDescent="0.25">
      <c r="A196" s="4" t="s">
        <v>13</v>
      </c>
      <c r="B196" s="5">
        <v>42430</v>
      </c>
      <c r="C196" s="4" t="str">
        <f>"9800"</f>
        <v>9800</v>
      </c>
      <c r="D196" s="4">
        <v>36315696</v>
      </c>
      <c r="E196" s="5">
        <v>42625</v>
      </c>
      <c r="F196" s="4">
        <v>1221</v>
      </c>
      <c r="G196" s="4">
        <v>3898</v>
      </c>
      <c r="H196" s="4" t="s">
        <v>77</v>
      </c>
      <c r="I196" s="4">
        <v>12.08</v>
      </c>
      <c r="J196" s="4">
        <v>9.9</v>
      </c>
      <c r="K196" s="5">
        <v>42502</v>
      </c>
      <c r="L196" s="4"/>
      <c r="M196" s="4" t="s">
        <v>46</v>
      </c>
    </row>
    <row r="197" spans="1:13" x14ac:dyDescent="0.25">
      <c r="A197" s="4" t="s">
        <v>13</v>
      </c>
      <c r="B197" s="5">
        <v>41978</v>
      </c>
      <c r="C197" s="4" t="str">
        <f>"8M00709366"</f>
        <v>8M00709366</v>
      </c>
      <c r="D197" s="4">
        <v>0</v>
      </c>
      <c r="E197" s="5">
        <v>42075</v>
      </c>
      <c r="F197" s="4">
        <v>184</v>
      </c>
      <c r="G197" s="4">
        <v>1294</v>
      </c>
      <c r="H197" s="4" t="s">
        <v>86</v>
      </c>
      <c r="I197" s="4">
        <v>188.5</v>
      </c>
      <c r="J197" s="4">
        <v>188.5</v>
      </c>
      <c r="K197" s="5">
        <v>42065</v>
      </c>
      <c r="L197" s="4"/>
      <c r="M197" s="4" t="s">
        <v>17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stampa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seg2</dc:creator>
  <cp:lastModifiedBy>seg2</cp:lastModifiedBy>
  <dcterms:created xsi:type="dcterms:W3CDTF">2023-06-20T07:28:27Z</dcterms:created>
  <dcterms:modified xsi:type="dcterms:W3CDTF">2023-06-20T07:28:27Z</dcterms:modified>
</cp:coreProperties>
</file>